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60" windowWidth="20280" windowHeight="11925" activeTab="2"/>
  </bookViews>
  <sheets>
    <sheet name="ФОТ 2018" sheetId="1" r:id="rId1"/>
    <sheet name="Т-3 (2018)" sheetId="2" r:id="rId2"/>
    <sheet name="Номенклатура" sheetId="3" r:id="rId3"/>
  </sheets>
  <externalReferences>
    <externalReference r:id="rId4"/>
    <externalReference r:id="rId5"/>
    <externalReference r:id="rId6"/>
    <externalReference r:id="rId7"/>
  </externalReferences>
  <definedNames>
    <definedName name="A" localSheetId="1">#REF!</definedName>
    <definedName name="A" localSheetId="0">#REF!</definedName>
    <definedName name="A">#REF!</definedName>
    <definedName name="TRS" localSheetId="1">#REF!</definedName>
    <definedName name="TRS" localSheetId="0">#REF!</definedName>
    <definedName name="TRS">#REF!</definedName>
    <definedName name="TRS_нов" localSheetId="1">#REF!</definedName>
    <definedName name="TRS_нов" localSheetId="0">#REF!</definedName>
    <definedName name="TRS_нов">#REF!</definedName>
    <definedName name="Б" localSheetId="1">'[1]Численность общая 2011'!#REF!</definedName>
    <definedName name="Б" localSheetId="0">'[1]Численность общая 2011'!#REF!</definedName>
    <definedName name="Б">'[1]Численность общая 2011'!#REF!</definedName>
    <definedName name="в" localSheetId="1">'[2]Численность общая 2011'!#REF!</definedName>
    <definedName name="в" localSheetId="0">'[2]Численность общая 2011'!#REF!</definedName>
    <definedName name="в">'[2]Численность общая 2011'!#REF!</definedName>
    <definedName name="вв" localSheetId="1">#REF!</definedName>
    <definedName name="вв" localSheetId="0">#REF!</definedName>
    <definedName name="вв">#REF!</definedName>
    <definedName name="зп_осн" localSheetId="1">#REF!</definedName>
    <definedName name="зп_осн" localSheetId="0">#REF!</definedName>
    <definedName name="зп_осн">#REF!</definedName>
    <definedName name="зп_осн_5" localSheetId="1">#REF!</definedName>
    <definedName name="зп_осн_5" localSheetId="0">#REF!</definedName>
    <definedName name="зп_осн_5">#REF!</definedName>
    <definedName name="зп_осн_нов" localSheetId="1">#REF!</definedName>
    <definedName name="зп_осн_нов" localSheetId="0">#REF!</definedName>
    <definedName name="зп_осн_нов">#REF!</definedName>
    <definedName name="итог_зп" localSheetId="1">#REF!</definedName>
    <definedName name="итог_зп" localSheetId="0">#REF!</definedName>
    <definedName name="итог_зп">#REF!</definedName>
    <definedName name="итог_тр" localSheetId="1">#REF!</definedName>
    <definedName name="итог_тр" localSheetId="0">#REF!</definedName>
    <definedName name="итог_тр">#REF!</definedName>
    <definedName name="количество" localSheetId="1">#REF!</definedName>
    <definedName name="количество" localSheetId="0">#REF!</definedName>
    <definedName name="количество">#REF!</definedName>
    <definedName name="_xlnm.Print_Area" localSheetId="1">'Т-3 (2018)'!$A$1:$AP$112</definedName>
    <definedName name="подразд" localSheetId="1">#REF!</definedName>
    <definedName name="подразд" localSheetId="0">#REF!</definedName>
    <definedName name="подразд">#REF!</definedName>
    <definedName name="ср_зп_баз" localSheetId="1">#REF!</definedName>
    <definedName name="ср_зп_баз" localSheetId="0">#REF!</definedName>
    <definedName name="ср_зп_баз">#REF!</definedName>
    <definedName name="ср_зп_баз_нов" localSheetId="1">#REF!</definedName>
    <definedName name="ср_зп_баз_нов" localSheetId="0">#REF!</definedName>
    <definedName name="ср_зп_баз_нов">#REF!</definedName>
    <definedName name="сумм_к_аг" localSheetId="1">#REF!</definedName>
    <definedName name="сумм_к_аг" localSheetId="0">#REF!</definedName>
    <definedName name="сумм_к_аг">#REF!</definedName>
    <definedName name="сумм_ком" localSheetId="1">#REF!</definedName>
    <definedName name="сумм_ком" localSheetId="0">#REF!</definedName>
    <definedName name="сумм_ком">#REF!</definedName>
    <definedName name="сумм_мат" localSheetId="1">#REF!</definedName>
    <definedName name="сумм_мат" localSheetId="0">#REF!</definedName>
    <definedName name="сумм_мат">#REF!</definedName>
    <definedName name="сумм_сп_об" localSheetId="1">#REF!</definedName>
    <definedName name="сумм_сп_об" localSheetId="0">#REF!</definedName>
    <definedName name="сумм_сп_об">#REF!</definedName>
    <definedName name="ф" localSheetId="1">'[3]Численность общая 2011'!#REF!</definedName>
    <definedName name="ф" localSheetId="0">'[3]Численность общая 2011'!#REF!</definedName>
    <definedName name="ф">'[3]Численность общая 2011'!#REF!</definedName>
    <definedName name="ФБ" localSheetId="1">'[2]Численность общая 2011'!#REF!</definedName>
    <definedName name="ФБ" localSheetId="0">'[2]Численность общая 2011'!#REF!</definedName>
    <definedName name="ФБ">'[2]Численность общая 2011'!#REF!</definedName>
    <definedName name="ФФ" localSheetId="1">'[2]Численность общая 2011'!#REF!</definedName>
    <definedName name="ФФ" localSheetId="0">'[2]Численность общая 2011'!#REF!</definedName>
    <definedName name="ФФ">'[2]Численность общая 2011'!#REF!</definedName>
    <definedName name="цена_д">[4]Договор!$B$242</definedName>
    <definedName name="эт_1">[4]Договор!$B$246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6" i="3"/>
  <c r="Y96"/>
  <c r="AV81" i="2"/>
  <c r="AV70"/>
  <c r="AV69"/>
  <c r="AF42"/>
  <c r="AF69" l="1"/>
  <c r="AV57"/>
  <c r="AF57"/>
  <c r="BA57" s="1"/>
  <c r="AW57" l="1"/>
  <c r="BA69"/>
  <c r="AP69"/>
  <c r="AW69"/>
  <c r="AP57"/>
  <c r="AZ40"/>
  <c r="AZ90" l="1"/>
  <c r="AF72"/>
  <c r="BA72" s="1"/>
  <c r="AF45"/>
  <c r="BA45" s="1"/>
  <c r="AF52"/>
  <c r="BA52" s="1"/>
  <c r="AV71"/>
  <c r="AF71"/>
  <c r="BA71" s="1"/>
  <c r="AF62"/>
  <c r="BA62" s="1"/>
  <c r="AF88"/>
  <c r="BA88" s="1"/>
  <c r="AF61"/>
  <c r="BA61" s="1"/>
  <c r="AF60"/>
  <c r="BA60" s="1"/>
  <c r="AF80"/>
  <c r="AF48"/>
  <c r="BA48" s="1"/>
  <c r="AF59"/>
  <c r="BA59" s="1"/>
  <c r="AF87"/>
  <c r="BA87" s="1"/>
  <c r="AF77"/>
  <c r="BA77" s="1"/>
  <c r="AW71" l="1"/>
  <c r="AP71"/>
  <c r="AF58" l="1"/>
  <c r="BA58" s="1"/>
  <c r="AV88" l="1"/>
  <c r="AF54"/>
  <c r="AF68"/>
  <c r="BA68" s="1"/>
  <c r="AF67"/>
  <c r="BA67" s="1"/>
  <c r="AF66"/>
  <c r="BA66" s="1"/>
  <c r="AF65"/>
  <c r="BA65" s="1"/>
  <c r="AF70"/>
  <c r="AD64"/>
  <c r="AF64" s="1"/>
  <c r="AF49"/>
  <c r="BA49" s="1"/>
  <c r="BA70" l="1"/>
  <c r="AP70"/>
  <c r="AW70"/>
  <c r="AP88"/>
  <c r="AW88"/>
  <c r="AP80"/>
  <c r="AP72" l="1"/>
  <c r="AV72"/>
  <c r="AV87"/>
  <c r="AV85"/>
  <c r="AF85"/>
  <c r="BA85" s="1"/>
  <c r="AV84"/>
  <c r="AF84"/>
  <c r="AV68"/>
  <c r="AP68"/>
  <c r="AV67"/>
  <c r="AP67"/>
  <c r="AV66"/>
  <c r="AP66"/>
  <c r="AV65"/>
  <c r="AP65"/>
  <c r="AT90"/>
  <c r="AS90"/>
  <c r="AR90"/>
  <c r="AQ90"/>
  <c r="AV93"/>
  <c r="AV94"/>
  <c r="AV95"/>
  <c r="AV43"/>
  <c r="AV44"/>
  <c r="AV50"/>
  <c r="AV45"/>
  <c r="AV53"/>
  <c r="AV52"/>
  <c r="AV51"/>
  <c r="AV48"/>
  <c r="AV49"/>
  <c r="AV75"/>
  <c r="AV76"/>
  <c r="AV77"/>
  <c r="AV79"/>
  <c r="AV83"/>
  <c r="AV56"/>
  <c r="AV58"/>
  <c r="AV59"/>
  <c r="AV62"/>
  <c r="AV61"/>
  <c r="AV6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20"/>
  <c r="AT96"/>
  <c r="AS96"/>
  <c r="AR96"/>
  <c r="AQ96"/>
  <c r="AT40"/>
  <c r="AS40"/>
  <c r="AR40"/>
  <c r="AQ40"/>
  <c r="AP84" l="1"/>
  <c r="BA84"/>
  <c r="AW72"/>
  <c r="AW87"/>
  <c r="AW85"/>
  <c r="AS98"/>
  <c r="AW65"/>
  <c r="AW84"/>
  <c r="AP85"/>
  <c r="AP87"/>
  <c r="AW67"/>
  <c r="AR98"/>
  <c r="AW66"/>
  <c r="AT98"/>
  <c r="AW68"/>
  <c r="AV96"/>
  <c r="AQ98"/>
  <c r="AV90"/>
  <c r="AV91" s="1"/>
  <c r="AV40"/>
  <c r="AV41" s="1"/>
  <c r="AI6" i="1"/>
  <c r="AI8"/>
  <c r="AI9"/>
  <c r="AI10"/>
  <c r="AI11"/>
  <c r="AI12"/>
  <c r="AI13"/>
  <c r="AI14"/>
  <c r="AI16"/>
  <c r="AI17"/>
  <c r="AI19"/>
  <c r="AI22"/>
  <c r="AI23"/>
  <c r="AI24"/>
  <c r="AI26"/>
  <c r="AI27"/>
  <c r="AI28"/>
  <c r="AI31"/>
  <c r="AI32"/>
  <c r="AI34"/>
  <c r="AI35"/>
  <c r="AI36"/>
  <c r="AI38"/>
  <c r="AI39"/>
  <c r="AI40"/>
  <c r="AI41"/>
  <c r="AI42"/>
  <c r="AI43"/>
  <c r="AI44"/>
  <c r="AI45"/>
  <c r="AI46"/>
  <c r="AI48"/>
  <c r="AI51"/>
  <c r="AI52"/>
  <c r="AI55"/>
  <c r="AE6"/>
  <c r="AE8"/>
  <c r="AE9"/>
  <c r="AE10"/>
  <c r="AE11"/>
  <c r="AE12"/>
  <c r="AE13"/>
  <c r="AE14"/>
  <c r="AE16"/>
  <c r="AE17"/>
  <c r="AE19"/>
  <c r="AE22"/>
  <c r="AE23"/>
  <c r="AE24"/>
  <c r="AE26"/>
  <c r="AE27"/>
  <c r="AE28"/>
  <c r="AE31"/>
  <c r="AE32"/>
  <c r="AE34"/>
  <c r="AE35"/>
  <c r="AE36"/>
  <c r="AE38"/>
  <c r="AE39"/>
  <c r="AE40"/>
  <c r="AE41"/>
  <c r="AE42"/>
  <c r="AE43"/>
  <c r="AE44"/>
  <c r="AE45"/>
  <c r="AE46"/>
  <c r="AE48"/>
  <c r="AE51"/>
  <c r="AE52"/>
  <c r="AE55"/>
  <c r="AA6"/>
  <c r="AA8"/>
  <c r="AA9"/>
  <c r="AA10"/>
  <c r="AA11"/>
  <c r="AA12"/>
  <c r="AA13"/>
  <c r="AA14"/>
  <c r="AA16"/>
  <c r="AA17"/>
  <c r="AA19"/>
  <c r="AA22"/>
  <c r="AA23"/>
  <c r="AA24"/>
  <c r="AA26"/>
  <c r="AA27"/>
  <c r="AA28"/>
  <c r="AA31"/>
  <c r="AA32"/>
  <c r="AA34"/>
  <c r="AA35"/>
  <c r="AA36"/>
  <c r="AA38"/>
  <c r="AA39"/>
  <c r="AA40"/>
  <c r="AA41"/>
  <c r="AA42"/>
  <c r="AA43"/>
  <c r="AA44"/>
  <c r="AA45"/>
  <c r="AA46"/>
  <c r="AA48"/>
  <c r="AA51"/>
  <c r="AA52"/>
  <c r="AA55"/>
  <c r="W6"/>
  <c r="W8"/>
  <c r="W9"/>
  <c r="W10"/>
  <c r="W11"/>
  <c r="W12"/>
  <c r="W13"/>
  <c r="W14"/>
  <c r="W16"/>
  <c r="W17"/>
  <c r="W19"/>
  <c r="W22"/>
  <c r="W23"/>
  <c r="W24"/>
  <c r="W26"/>
  <c r="W27"/>
  <c r="W28"/>
  <c r="W31"/>
  <c r="W32"/>
  <c r="W34"/>
  <c r="W35"/>
  <c r="W36"/>
  <c r="W38"/>
  <c r="W39"/>
  <c r="W40"/>
  <c r="W41"/>
  <c r="W42"/>
  <c r="W43"/>
  <c r="W44"/>
  <c r="W45"/>
  <c r="W46"/>
  <c r="W48"/>
  <c r="W51"/>
  <c r="W52"/>
  <c r="W55"/>
  <c r="S6"/>
  <c r="S8"/>
  <c r="S9"/>
  <c r="S10"/>
  <c r="S11"/>
  <c r="S12"/>
  <c r="S13"/>
  <c r="S14"/>
  <c r="S16"/>
  <c r="S17"/>
  <c r="S19"/>
  <c r="S22"/>
  <c r="S23"/>
  <c r="S24"/>
  <c r="S26"/>
  <c r="S27"/>
  <c r="S28"/>
  <c r="S31"/>
  <c r="S32"/>
  <c r="S34"/>
  <c r="S35"/>
  <c r="S36"/>
  <c r="S38"/>
  <c r="S39"/>
  <c r="S40"/>
  <c r="S41"/>
  <c r="S42"/>
  <c r="S43"/>
  <c r="S44"/>
  <c r="S45"/>
  <c r="S46"/>
  <c r="S48"/>
  <c r="S51"/>
  <c r="S52"/>
  <c r="S5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51"/>
  <c r="O52"/>
  <c r="O55"/>
  <c r="AV98" i="2" l="1"/>
  <c r="AB96"/>
  <c r="Y96"/>
  <c r="AF14" s="1"/>
  <c r="AD95"/>
  <c r="AF95" s="1"/>
  <c r="AD94"/>
  <c r="AF94" s="1"/>
  <c r="AD93"/>
  <c r="AF93" s="1"/>
  <c r="AD92"/>
  <c r="AF92" s="1"/>
  <c r="AF74"/>
  <c r="AF73"/>
  <c r="AD63"/>
  <c r="AF63" s="1"/>
  <c r="AD56"/>
  <c r="AF56" s="1"/>
  <c r="BA56" s="1"/>
  <c r="AF89"/>
  <c r="AF86"/>
  <c r="AF83"/>
  <c r="BA83" s="1"/>
  <c r="AD82"/>
  <c r="AF82" s="1"/>
  <c r="AD81"/>
  <c r="AF81" s="1"/>
  <c r="AF79"/>
  <c r="BA79" s="1"/>
  <c r="AD76"/>
  <c r="AF76" s="1"/>
  <c r="BA76" s="1"/>
  <c r="AD78"/>
  <c r="AF78" s="1"/>
  <c r="AD75"/>
  <c r="AF75" s="1"/>
  <c r="BA75" s="1"/>
  <c r="AF51"/>
  <c r="BA51" s="1"/>
  <c r="AF53"/>
  <c r="BA53" s="1"/>
  <c r="AF55"/>
  <c r="AF50"/>
  <c r="BA50" s="1"/>
  <c r="AF44"/>
  <c r="BA44" s="1"/>
  <c r="AF47"/>
  <c r="AF46"/>
  <c r="AD43"/>
  <c r="AF43" s="1"/>
  <c r="BA43" s="1"/>
  <c r="AF39"/>
  <c r="BA39" s="1"/>
  <c r="AD38"/>
  <c r="AF38" s="1"/>
  <c r="BA38" s="1"/>
  <c r="AD37"/>
  <c r="AF37" s="1"/>
  <c r="AF36"/>
  <c r="AF35"/>
  <c r="AF34"/>
  <c r="BA34" s="1"/>
  <c r="AF33"/>
  <c r="BA33" s="1"/>
  <c r="AF32"/>
  <c r="BA32" s="1"/>
  <c r="AF31"/>
  <c r="AF30"/>
  <c r="AF29"/>
  <c r="AF28"/>
  <c r="AD27"/>
  <c r="AF27" s="1"/>
  <c r="AF26"/>
  <c r="BA26" s="1"/>
  <c r="AF25"/>
  <c r="AF24"/>
  <c r="BA24" s="1"/>
  <c r="AF23"/>
  <c r="AD22"/>
  <c r="AF22" s="1"/>
  <c r="AD21"/>
  <c r="AF21" s="1"/>
  <c r="BA21" s="1"/>
  <c r="AD20"/>
  <c r="AP81" l="1"/>
  <c r="BA81"/>
  <c r="AW81"/>
  <c r="BA90"/>
  <c r="AP24"/>
  <c r="AW24"/>
  <c r="AP36"/>
  <c r="AW36"/>
  <c r="AP23"/>
  <c r="AW23"/>
  <c r="AP26"/>
  <c r="AW26"/>
  <c r="AP32"/>
  <c r="AW32"/>
  <c r="AP39"/>
  <c r="AW39"/>
  <c r="AP44"/>
  <c r="AW44"/>
  <c r="AP51"/>
  <c r="AW51"/>
  <c r="AP83"/>
  <c r="AW83"/>
  <c r="AP58"/>
  <c r="AW58"/>
  <c r="AP61"/>
  <c r="AW61"/>
  <c r="AP30"/>
  <c r="AW30"/>
  <c r="AP48"/>
  <c r="AW48"/>
  <c r="AP59"/>
  <c r="AW59"/>
  <c r="AP93"/>
  <c r="AW93"/>
  <c r="AP33"/>
  <c r="AW33"/>
  <c r="AP21"/>
  <c r="AW21"/>
  <c r="AP25"/>
  <c r="AW25"/>
  <c r="AP28"/>
  <c r="AW28"/>
  <c r="AP34"/>
  <c r="AW34"/>
  <c r="AP37"/>
  <c r="AW37"/>
  <c r="AP50"/>
  <c r="AW50"/>
  <c r="AP53"/>
  <c r="AW53"/>
  <c r="AP77"/>
  <c r="AW77"/>
  <c r="AP62"/>
  <c r="AW62"/>
  <c r="AP94"/>
  <c r="AW94"/>
  <c r="AP27"/>
  <c r="AW27"/>
  <c r="AP45"/>
  <c r="AW45"/>
  <c r="AP22"/>
  <c r="AW22"/>
  <c r="AP29"/>
  <c r="AW29"/>
  <c r="AP31"/>
  <c r="AW31"/>
  <c r="AP35"/>
  <c r="AW35"/>
  <c r="AP38"/>
  <c r="AW38"/>
  <c r="AP43"/>
  <c r="AW43"/>
  <c r="AP52"/>
  <c r="AW52"/>
  <c r="AP49"/>
  <c r="AW49"/>
  <c r="AP75"/>
  <c r="AW75"/>
  <c r="AP76"/>
  <c r="AW76"/>
  <c r="AP79"/>
  <c r="AW79"/>
  <c r="AP56"/>
  <c r="AW56"/>
  <c r="AP60"/>
  <c r="AW60"/>
  <c r="AP95"/>
  <c r="AW95"/>
  <c r="AD96"/>
  <c r="AF96" s="1"/>
  <c r="AI15" s="1"/>
  <c r="AF20"/>
  <c r="AW20" l="1"/>
  <c r="AW40" s="1"/>
  <c r="BA20"/>
  <c r="BA40" s="1"/>
  <c r="AW90"/>
  <c r="AW96"/>
  <c r="AP96"/>
  <c r="BA96" s="1"/>
  <c r="AP90"/>
  <c r="AP20"/>
  <c r="AP40" s="1"/>
  <c r="AH54" i="1"/>
  <c r="AF54" s="1"/>
  <c r="AI54" s="1"/>
  <c r="AH50"/>
  <c r="AF50" s="1"/>
  <c r="AI50" s="1"/>
  <c r="AH30"/>
  <c r="AF30" s="1"/>
  <c r="AI30" s="1"/>
  <c r="AD54"/>
  <c r="AB54" s="1"/>
  <c r="AE54" s="1"/>
  <c r="AD50"/>
  <c r="AB50" s="1"/>
  <c r="AE50" s="1"/>
  <c r="AD30"/>
  <c r="AB30" s="1"/>
  <c r="AE30" s="1"/>
  <c r="Z54"/>
  <c r="X54" s="1"/>
  <c r="AA54" s="1"/>
  <c r="Z50"/>
  <c r="X50" s="1"/>
  <c r="AA50" s="1"/>
  <c r="Z30"/>
  <c r="X30" s="1"/>
  <c r="AA30" s="1"/>
  <c r="V54"/>
  <c r="T54" s="1"/>
  <c r="W54" s="1"/>
  <c r="V50"/>
  <c r="T50" s="1"/>
  <c r="W50" s="1"/>
  <c r="V30"/>
  <c r="T30" s="1"/>
  <c r="W30" s="1"/>
  <c r="AH29"/>
  <c r="AF29" s="1"/>
  <c r="AI29" s="1"/>
  <c r="AD29"/>
  <c r="AB29" s="1"/>
  <c r="AE29" s="1"/>
  <c r="Z29"/>
  <c r="X29" s="1"/>
  <c r="AA29" s="1"/>
  <c r="V29"/>
  <c r="T29" s="1"/>
  <c r="W29" s="1"/>
  <c r="AH53"/>
  <c r="AF53" s="1"/>
  <c r="AI53" s="1"/>
  <c r="AH21"/>
  <c r="AF21" s="1"/>
  <c r="AI21" s="1"/>
  <c r="AD53"/>
  <c r="AB53" s="1"/>
  <c r="AE53" s="1"/>
  <c r="AD21"/>
  <c r="AB21" s="1"/>
  <c r="AE21" s="1"/>
  <c r="Z53"/>
  <c r="X53" s="1"/>
  <c r="AA53" s="1"/>
  <c r="Z21"/>
  <c r="X21" s="1"/>
  <c r="AA21" s="1"/>
  <c r="V53"/>
  <c r="T53" s="1"/>
  <c r="W53" s="1"/>
  <c r="V21"/>
  <c r="T21" s="1"/>
  <c r="W21" s="1"/>
  <c r="R53"/>
  <c r="P53" s="1"/>
  <c r="S53" s="1"/>
  <c r="R21"/>
  <c r="P21" s="1"/>
  <c r="S21" s="1"/>
  <c r="AH49"/>
  <c r="AF49" s="1"/>
  <c r="AI49" s="1"/>
  <c r="AH47"/>
  <c r="AF47" s="1"/>
  <c r="AI47" s="1"/>
  <c r="AH37"/>
  <c r="AF37" s="1"/>
  <c r="AI37" s="1"/>
  <c r="AH25"/>
  <c r="AF25" s="1"/>
  <c r="AI25" s="1"/>
  <c r="AH33"/>
  <c r="AF33" s="1"/>
  <c r="AI33" s="1"/>
  <c r="AH20"/>
  <c r="AF20" s="1"/>
  <c r="AI20" s="1"/>
  <c r="AH18"/>
  <c r="AF18" s="1"/>
  <c r="AI18" s="1"/>
  <c r="AH15"/>
  <c r="AF15" s="1"/>
  <c r="AI15" s="1"/>
  <c r="AH7"/>
  <c r="AF7" s="1"/>
  <c r="AI7" s="1"/>
  <c r="AD49"/>
  <c r="AB49" s="1"/>
  <c r="AE49" s="1"/>
  <c r="AD47"/>
  <c r="AB47" s="1"/>
  <c r="AE47" s="1"/>
  <c r="AD37"/>
  <c r="AB37" s="1"/>
  <c r="AE37" s="1"/>
  <c r="AD25"/>
  <c r="AB25" s="1"/>
  <c r="AE25" s="1"/>
  <c r="AD33"/>
  <c r="AB33" s="1"/>
  <c r="AE33" s="1"/>
  <c r="AD20"/>
  <c r="AB20" s="1"/>
  <c r="AE20" s="1"/>
  <c r="AD18"/>
  <c r="AB18" s="1"/>
  <c r="AE18" s="1"/>
  <c r="AD15"/>
  <c r="AB15" s="1"/>
  <c r="AE15" s="1"/>
  <c r="AD7"/>
  <c r="AB7" s="1"/>
  <c r="AE7" s="1"/>
  <c r="Z49"/>
  <c r="X49" s="1"/>
  <c r="AA49" s="1"/>
  <c r="Z47"/>
  <c r="X47" s="1"/>
  <c r="AA47" s="1"/>
  <c r="Z37"/>
  <c r="X37" s="1"/>
  <c r="AA37" s="1"/>
  <c r="R54"/>
  <c r="P54" s="1"/>
  <c r="S54" s="1"/>
  <c r="R50"/>
  <c r="P50" s="1"/>
  <c r="S50" s="1"/>
  <c r="R30"/>
  <c r="P30" s="1"/>
  <c r="S30" s="1"/>
  <c r="BA98" i="2" l="1"/>
  <c r="AW41"/>
  <c r="AW98"/>
  <c r="AP98"/>
  <c r="AW91"/>
  <c r="V49" i="1"/>
  <c r="T49" s="1"/>
  <c r="W49" s="1"/>
  <c r="V47"/>
  <c r="T47" s="1"/>
  <c r="W47" s="1"/>
  <c r="V37"/>
  <c r="T37" s="1"/>
  <c r="W37" s="1"/>
  <c r="Z25"/>
  <c r="X25" s="1"/>
  <c r="AA25" s="1"/>
  <c r="AI5"/>
  <c r="AE58"/>
  <c r="AE5"/>
  <c r="AA5"/>
  <c r="W58"/>
  <c r="W5"/>
  <c r="V25"/>
  <c r="T25" s="1"/>
  <c r="W25" s="1"/>
  <c r="R49"/>
  <c r="P49" s="1"/>
  <c r="S49" s="1"/>
  <c r="R47"/>
  <c r="P47" s="1"/>
  <c r="S47" s="1"/>
  <c r="R37"/>
  <c r="P37" s="1"/>
  <c r="S37" s="1"/>
  <c r="R29"/>
  <c r="P29" s="1"/>
  <c r="S29" s="1"/>
  <c r="R25"/>
  <c r="P25" s="1"/>
  <c r="S25" s="1"/>
  <c r="Z33"/>
  <c r="X33" s="1"/>
  <c r="AA33" s="1"/>
  <c r="Z20"/>
  <c r="X20" s="1"/>
  <c r="AA20" s="1"/>
  <c r="Z18"/>
  <c r="X18" s="1"/>
  <c r="AA18" s="1"/>
  <c r="Z15"/>
  <c r="X15" s="1"/>
  <c r="AA15" s="1"/>
  <c r="Z7"/>
  <c r="X7" s="1"/>
  <c r="AA7" s="1"/>
  <c r="V33"/>
  <c r="T33" s="1"/>
  <c r="W33" s="1"/>
  <c r="V20"/>
  <c r="T20" s="1"/>
  <c r="W20" s="1"/>
  <c r="V18"/>
  <c r="V15"/>
  <c r="T15" s="1"/>
  <c r="W15" s="1"/>
  <c r="V7"/>
  <c r="T7" s="1"/>
  <c r="W7" s="1"/>
  <c r="R33"/>
  <c r="P33" s="1"/>
  <c r="S33" s="1"/>
  <c r="R20"/>
  <c r="P20" s="1"/>
  <c r="S20" s="1"/>
  <c r="R18"/>
  <c r="P18" s="1"/>
  <c r="S18" s="1"/>
  <c r="R15"/>
  <c r="P15" s="1"/>
  <c r="S15" s="1"/>
  <c r="R7"/>
  <c r="P7" s="1"/>
  <c r="S7" s="1"/>
  <c r="N54"/>
  <c r="N50"/>
  <c r="N30"/>
  <c r="N53"/>
  <c r="N49"/>
  <c r="N47"/>
  <c r="N37"/>
  <c r="N29"/>
  <c r="N25"/>
  <c r="N21"/>
  <c r="N33"/>
  <c r="N20"/>
  <c r="N18"/>
  <c r="N15"/>
  <c r="N7"/>
  <c r="AY58"/>
  <c r="AX58"/>
  <c r="AW58"/>
  <c r="AV58"/>
  <c r="AY73" s="1"/>
  <c r="AY57"/>
  <c r="AX57"/>
  <c r="AW57"/>
  <c r="AV57"/>
  <c r="AY72" s="1"/>
  <c r="AY56"/>
  <c r="AY59" s="1"/>
  <c r="AX56"/>
  <c r="AX59" s="1"/>
  <c r="AW56"/>
  <c r="AW59" s="1"/>
  <c r="AV56"/>
  <c r="AY60" s="1"/>
  <c r="AU58"/>
  <c r="AT58"/>
  <c r="AS58"/>
  <c r="AR58"/>
  <c r="AU73" s="1"/>
  <c r="AU57"/>
  <c r="AT57"/>
  <c r="AS57"/>
  <c r="AR57"/>
  <c r="AU72" s="1"/>
  <c r="AU56"/>
  <c r="AU59" s="1"/>
  <c r="AT56"/>
  <c r="AT59" s="1"/>
  <c r="AS56"/>
  <c r="AS59" s="1"/>
  <c r="AR56"/>
  <c r="AU60" s="1"/>
  <c r="AQ58"/>
  <c r="AP58"/>
  <c r="AO58"/>
  <c r="AN58"/>
  <c r="AQ73" s="1"/>
  <c r="AQ57"/>
  <c r="AP57"/>
  <c r="AO57"/>
  <c r="AN57"/>
  <c r="AQ72" s="1"/>
  <c r="AQ56"/>
  <c r="AQ59" s="1"/>
  <c r="AP56"/>
  <c r="AP59" s="1"/>
  <c r="AO56"/>
  <c r="AO59" s="1"/>
  <c r="AN56"/>
  <c r="AQ60" s="1"/>
  <c r="AM58"/>
  <c r="AL58"/>
  <c r="AK58"/>
  <c r="AJ58"/>
  <c r="AM73" s="1"/>
  <c r="AM57"/>
  <c r="AL57"/>
  <c r="AK57"/>
  <c r="AJ57"/>
  <c r="AM72" s="1"/>
  <c r="AM56"/>
  <c r="AM59" s="1"/>
  <c r="AL56"/>
  <c r="AL59" s="1"/>
  <c r="AK56"/>
  <c r="AK59" s="1"/>
  <c r="AJ56"/>
  <c r="AM60" s="1"/>
  <c r="AH58"/>
  <c r="AG58"/>
  <c r="AF58"/>
  <c r="AH57"/>
  <c r="AG57"/>
  <c r="AF57"/>
  <c r="AI72" s="1"/>
  <c r="AH56"/>
  <c r="AG56"/>
  <c r="AF56"/>
  <c r="AD58"/>
  <c r="AC58"/>
  <c r="AB58"/>
  <c r="AE73" s="1"/>
  <c r="AD57"/>
  <c r="AC57"/>
  <c r="AB57"/>
  <c r="AD56"/>
  <c r="AC56"/>
  <c r="AB56"/>
  <c r="AA58"/>
  <c r="Z58"/>
  <c r="Y58"/>
  <c r="X58"/>
  <c r="AA73" s="1"/>
  <c r="Y57"/>
  <c r="Y56"/>
  <c r="Y59" s="1"/>
  <c r="X56"/>
  <c r="V58"/>
  <c r="U58"/>
  <c r="T58"/>
  <c r="W73" s="1"/>
  <c r="U57"/>
  <c r="U56"/>
  <c r="R58"/>
  <c r="Q58"/>
  <c r="P58"/>
  <c r="Q57"/>
  <c r="P57"/>
  <c r="Q56"/>
  <c r="L54"/>
  <c r="O54" s="1"/>
  <c r="L53"/>
  <c r="O53" s="1"/>
  <c r="L50"/>
  <c r="O50" s="1"/>
  <c r="L49"/>
  <c r="O49" s="1"/>
  <c r="L30"/>
  <c r="O30" s="1"/>
  <c r="L29"/>
  <c r="O29" s="1"/>
  <c r="J53"/>
  <c r="J54"/>
  <c r="J50"/>
  <c r="J49"/>
  <c r="J47"/>
  <c r="J37"/>
  <c r="J30"/>
  <c r="J29"/>
  <c r="J25"/>
  <c r="J21"/>
  <c r="J33"/>
  <c r="J20"/>
  <c r="J18"/>
  <c r="J15"/>
  <c r="J7"/>
  <c r="K65"/>
  <c r="H54"/>
  <c r="H53"/>
  <c r="H50"/>
  <c r="H49"/>
  <c r="K49" s="1"/>
  <c r="H30"/>
  <c r="H29"/>
  <c r="F53"/>
  <c r="F54"/>
  <c r="F50"/>
  <c r="F49"/>
  <c r="F37"/>
  <c r="F30"/>
  <c r="F28"/>
  <c r="F25"/>
  <c r="F21"/>
  <c r="F17"/>
  <c r="M58"/>
  <c r="M57"/>
  <c r="L57"/>
  <c r="M56"/>
  <c r="J58"/>
  <c r="I58"/>
  <c r="I57"/>
  <c r="H57"/>
  <c r="I56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50"/>
  <c r="K51"/>
  <c r="K52"/>
  <c r="K53"/>
  <c r="K54"/>
  <c r="K5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1"/>
  <c r="G32"/>
  <c r="G33"/>
  <c r="G34"/>
  <c r="G35"/>
  <c r="G36"/>
  <c r="G38"/>
  <c r="G39"/>
  <c r="G40"/>
  <c r="G41"/>
  <c r="G42"/>
  <c r="G43"/>
  <c r="G44"/>
  <c r="G45"/>
  <c r="G46"/>
  <c r="G47"/>
  <c r="G48"/>
  <c r="G51"/>
  <c r="G52"/>
  <c r="G53"/>
  <c r="G55"/>
  <c r="G65"/>
  <c r="F33"/>
  <c r="F20"/>
  <c r="F18"/>
  <c r="F15"/>
  <c r="F7"/>
  <c r="D54"/>
  <c r="G54" s="1"/>
  <c r="D53"/>
  <c r="D50"/>
  <c r="G50" s="1"/>
  <c r="D49"/>
  <c r="G49" s="1"/>
  <c r="D37"/>
  <c r="G37" s="1"/>
  <c r="N58" l="1"/>
  <c r="P73" s="1"/>
  <c r="O72"/>
  <c r="S72"/>
  <c r="S73"/>
  <c r="V57"/>
  <c r="T18"/>
  <c r="I59"/>
  <c r="P56"/>
  <c r="U59"/>
  <c r="X57"/>
  <c r="AA72" s="1"/>
  <c r="AD59"/>
  <c r="AG59"/>
  <c r="AA60"/>
  <c r="X62"/>
  <c r="AE60"/>
  <c r="AB62"/>
  <c r="AC59"/>
  <c r="AI60"/>
  <c r="AF62"/>
  <c r="M59"/>
  <c r="H58"/>
  <c r="H56"/>
  <c r="H62" s="1"/>
  <c r="Q59"/>
  <c r="AE72"/>
  <c r="AI73"/>
  <c r="AI58"/>
  <c r="AI56"/>
  <c r="AI57"/>
  <c r="AE56"/>
  <c r="AE57"/>
  <c r="AA56"/>
  <c r="AA57"/>
  <c r="AH59"/>
  <c r="Z57"/>
  <c r="Z56"/>
  <c r="V56"/>
  <c r="R57"/>
  <c r="R56"/>
  <c r="N56"/>
  <c r="N57"/>
  <c r="P72" s="1"/>
  <c r="AV59"/>
  <c r="AY74" s="1"/>
  <c r="AY75" s="1"/>
  <c r="AR59"/>
  <c r="AU74" s="1"/>
  <c r="AU75" s="1"/>
  <c r="AN59"/>
  <c r="AQ74" s="1"/>
  <c r="AQ75" s="1"/>
  <c r="AJ59"/>
  <c r="AM74" s="1"/>
  <c r="AM75" s="1"/>
  <c r="AF59"/>
  <c r="AI74" s="1"/>
  <c r="AI75" s="1"/>
  <c r="AB59"/>
  <c r="AE74" s="1"/>
  <c r="AE75" s="1"/>
  <c r="P59"/>
  <c r="S74" s="1"/>
  <c r="L56"/>
  <c r="O60" s="1"/>
  <c r="L58"/>
  <c r="O73" s="1"/>
  <c r="J56"/>
  <c r="J57"/>
  <c r="K58"/>
  <c r="K57"/>
  <c r="K60"/>
  <c r="H59"/>
  <c r="D30"/>
  <c r="G30" s="1"/>
  <c r="D66"/>
  <c r="E58"/>
  <c r="F58"/>
  <c r="E57"/>
  <c r="F57"/>
  <c r="E56"/>
  <c r="E59" s="1"/>
  <c r="F56"/>
  <c r="D56"/>
  <c r="D58"/>
  <c r="D57"/>
  <c r="G72" s="1"/>
  <c r="BD52"/>
  <c r="BF52" s="1"/>
  <c r="BD51"/>
  <c r="BE51" s="1"/>
  <c r="BD48"/>
  <c r="BF48" s="1"/>
  <c r="BD46"/>
  <c r="BD45"/>
  <c r="BD44"/>
  <c r="BD43"/>
  <c r="BD42"/>
  <c r="BD41"/>
  <c r="BD40"/>
  <c r="BD39"/>
  <c r="BD38"/>
  <c r="BE38" s="1"/>
  <c r="BD36"/>
  <c r="BD35"/>
  <c r="BD34"/>
  <c r="BD33"/>
  <c r="BD32"/>
  <c r="BE32" s="1"/>
  <c r="BD31"/>
  <c r="BE31" s="1"/>
  <c r="BD27"/>
  <c r="BF27" s="1"/>
  <c r="BD26"/>
  <c r="BF26" s="1"/>
  <c r="BD24"/>
  <c r="BF24" s="1"/>
  <c r="BD23"/>
  <c r="BF23" s="1"/>
  <c r="BD22"/>
  <c r="BF22" s="1"/>
  <c r="BD19"/>
  <c r="BE19" s="1"/>
  <c r="BD16"/>
  <c r="BF16" s="1"/>
  <c r="BD14"/>
  <c r="BE14" s="1"/>
  <c r="BD13"/>
  <c r="BF13" s="1"/>
  <c r="BD12"/>
  <c r="BE12" s="1"/>
  <c r="BD11"/>
  <c r="BE11" s="1"/>
  <c r="BD10"/>
  <c r="BF10" s="1"/>
  <c r="BD9"/>
  <c r="BE9" s="1"/>
  <c r="BD8"/>
  <c r="BE8" s="1"/>
  <c r="BD6"/>
  <c r="BE6" s="1"/>
  <c r="BD5"/>
  <c r="BE5" s="1"/>
  <c r="S5"/>
  <c r="O5"/>
  <c r="K5"/>
  <c r="K56" s="1"/>
  <c r="K59" s="1"/>
  <c r="G5"/>
  <c r="D62" l="1"/>
  <c r="J59"/>
  <c r="V59"/>
  <c r="S60"/>
  <c r="S75" s="1"/>
  <c r="P62"/>
  <c r="W18"/>
  <c r="T57"/>
  <c r="W72" s="1"/>
  <c r="T56"/>
  <c r="X59"/>
  <c r="AA74" s="1"/>
  <c r="AA75" s="1"/>
  <c r="N59"/>
  <c r="P74" s="1"/>
  <c r="Z59"/>
  <c r="S58"/>
  <c r="AI59"/>
  <c r="AA59"/>
  <c r="AE59"/>
  <c r="S56"/>
  <c r="S57"/>
  <c r="R59"/>
  <c r="L62"/>
  <c r="L59"/>
  <c r="O74" s="1"/>
  <c r="O58"/>
  <c r="O57"/>
  <c r="O77" s="1"/>
  <c r="O56"/>
  <c r="F59"/>
  <c r="G58"/>
  <c r="G57"/>
  <c r="G77" s="1"/>
  <c r="D59"/>
  <c r="G56"/>
  <c r="BF5"/>
  <c r="BF19"/>
  <c r="AE78"/>
  <c r="BF51"/>
  <c r="BE52"/>
  <c r="BF8"/>
  <c r="BF6"/>
  <c r="BE10"/>
  <c r="BE13"/>
  <c r="BF9"/>
  <c r="BF11"/>
  <c r="BF12"/>
  <c r="BF14"/>
  <c r="BD28"/>
  <c r="BF28" s="1"/>
  <c r="BD49"/>
  <c r="BE49" s="1"/>
  <c r="K72"/>
  <c r="BD21"/>
  <c r="BF21" s="1"/>
  <c r="BF38"/>
  <c r="BE48"/>
  <c r="BD50"/>
  <c r="BE50" s="1"/>
  <c r="BD17"/>
  <c r="BD25"/>
  <c r="BD15"/>
  <c r="BD18"/>
  <c r="BF35"/>
  <c r="BE35"/>
  <c r="BF39"/>
  <c r="BE39"/>
  <c r="BF45"/>
  <c r="BE45"/>
  <c r="BD20"/>
  <c r="BD54"/>
  <c r="G73"/>
  <c r="BD30"/>
  <c r="BF43"/>
  <c r="BE43"/>
  <c r="BD47"/>
  <c r="AQ77"/>
  <c r="BE16"/>
  <c r="BE22"/>
  <c r="BE23"/>
  <c r="BE24"/>
  <c r="BE26"/>
  <c r="BE27"/>
  <c r="BD29"/>
  <c r="BD53"/>
  <c r="BD55"/>
  <c r="BF33"/>
  <c r="BE33"/>
  <c r="BD37"/>
  <c r="BF41"/>
  <c r="BE41"/>
  <c r="K73"/>
  <c r="BF34"/>
  <c r="BE34"/>
  <c r="BF36"/>
  <c r="BE36"/>
  <c r="BF40"/>
  <c r="BE40"/>
  <c r="BF42"/>
  <c r="BE42"/>
  <c r="BF44"/>
  <c r="BE44"/>
  <c r="BF46"/>
  <c r="BE46"/>
  <c r="BF31"/>
  <c r="BF32"/>
  <c r="W56" l="1"/>
  <c r="W57"/>
  <c r="W60"/>
  <c r="T62"/>
  <c r="T59"/>
  <c r="W74" s="1"/>
  <c r="S59"/>
  <c r="O78"/>
  <c r="O59"/>
  <c r="G59"/>
  <c r="AE77"/>
  <c r="S77"/>
  <c r="AV62"/>
  <c r="S78"/>
  <c r="BF50"/>
  <c r="AM78"/>
  <c r="BE21"/>
  <c r="BD7"/>
  <c r="BE7" s="1"/>
  <c r="AY77"/>
  <c r="AY78"/>
  <c r="W78"/>
  <c r="W77"/>
  <c r="AU78"/>
  <c r="G78"/>
  <c r="AQ78"/>
  <c r="K78"/>
  <c r="AI77"/>
  <c r="AA77"/>
  <c r="BF49"/>
  <c r="BE28"/>
  <c r="K77"/>
  <c r="AA78"/>
  <c r="BF47"/>
  <c r="BE47"/>
  <c r="BF15"/>
  <c r="BE15"/>
  <c r="BA58"/>
  <c r="BF53"/>
  <c r="BE53"/>
  <c r="G60"/>
  <c r="AI81"/>
  <c r="BE37"/>
  <c r="BF37"/>
  <c r="BF54"/>
  <c r="BE54"/>
  <c r="O81"/>
  <c r="BF55"/>
  <c r="BE55"/>
  <c r="BE30"/>
  <c r="BF30"/>
  <c r="AI78"/>
  <c r="BF20"/>
  <c r="BE20"/>
  <c r="BF18"/>
  <c r="BE18"/>
  <c r="BE29"/>
  <c r="BF29"/>
  <c r="BE17"/>
  <c r="BF17"/>
  <c r="AU77"/>
  <c r="BF25"/>
  <c r="BE25"/>
  <c r="W75" l="1"/>
  <c r="W59"/>
  <c r="AY81"/>
  <c r="AE81"/>
  <c r="BF7"/>
  <c r="S81"/>
  <c r="AA81"/>
  <c r="K74"/>
  <c r="K75" s="1"/>
  <c r="K81"/>
  <c r="G81"/>
  <c r="AZ78"/>
  <c r="BB58" s="1"/>
  <c r="O75"/>
  <c r="W81"/>
  <c r="AI79"/>
  <c r="G74"/>
  <c r="G75" s="1"/>
  <c r="S79"/>
  <c r="BA57"/>
  <c r="AM77"/>
  <c r="AZ77" s="1"/>
  <c r="AQ81"/>
  <c r="AA79"/>
  <c r="BA56"/>
  <c r="AE79"/>
  <c r="BB57" l="1"/>
  <c r="K79"/>
  <c r="G79"/>
  <c r="AY79"/>
  <c r="W79"/>
  <c r="O79"/>
  <c r="AU79"/>
  <c r="AQ79"/>
  <c r="BA59"/>
  <c r="AU81"/>
  <c r="AM81"/>
  <c r="AM79" l="1"/>
  <c r="AZ79" s="1"/>
  <c r="AZ81"/>
  <c r="BB59" l="1"/>
  <c r="BB56" s="1"/>
  <c r="AZ80"/>
</calcChain>
</file>

<file path=xl/comments1.xml><?xml version="1.0" encoding="utf-8"?>
<comments xmlns="http://schemas.openxmlformats.org/spreadsheetml/2006/main">
  <authors>
    <author>Крикун Лариса</author>
  </authors>
  <commentList>
    <comment ref="AQ43" authorId="0">
      <text>
        <r>
          <rPr>
            <b/>
            <sz val="8"/>
            <color indexed="81"/>
            <rFont val="Tahoma"/>
            <family val="2"/>
            <charset val="204"/>
          </rPr>
          <t>Крикун Лариса:</t>
        </r>
        <r>
          <rPr>
            <sz val="8"/>
            <color indexed="81"/>
            <rFont val="Tahoma"/>
            <family val="2"/>
            <charset val="204"/>
          </rPr>
          <t xml:space="preserve">
с 01.04.18</t>
        </r>
      </text>
    </comment>
    <comment ref="AQ75" authorId="0">
      <text>
        <r>
          <rPr>
            <b/>
            <sz val="8"/>
            <color indexed="81"/>
            <rFont val="Tahoma"/>
            <family val="2"/>
            <charset val="204"/>
          </rPr>
          <t>Крикун Лариса:</t>
        </r>
        <r>
          <rPr>
            <sz val="8"/>
            <color indexed="81"/>
            <rFont val="Tahoma"/>
            <family val="2"/>
            <charset val="204"/>
          </rPr>
          <t xml:space="preserve">
с 01.04.18</t>
        </r>
      </text>
    </comment>
    <comment ref="AQ76" authorId="0">
      <text>
        <r>
          <rPr>
            <b/>
            <sz val="8"/>
            <color indexed="81"/>
            <rFont val="Tahoma"/>
            <family val="2"/>
            <charset val="204"/>
          </rPr>
          <t>Крикун Лариса:</t>
        </r>
        <r>
          <rPr>
            <sz val="8"/>
            <color indexed="81"/>
            <rFont val="Tahoma"/>
            <family val="2"/>
            <charset val="204"/>
          </rPr>
          <t xml:space="preserve">
с 01.04.18</t>
        </r>
      </text>
    </comment>
  </commentList>
</comments>
</file>

<file path=xl/sharedStrings.xml><?xml version="1.0" encoding="utf-8"?>
<sst xmlns="http://schemas.openxmlformats.org/spreadsheetml/2006/main" count="588" uniqueCount="230">
  <si>
    <t>ПФР</t>
  </si>
  <si>
    <t>№ п/п</t>
  </si>
  <si>
    <t>Таб №</t>
  </si>
  <si>
    <t>ФИО</t>
  </si>
  <si>
    <t>З/П</t>
  </si>
  <si>
    <t>отпуск/больничный</t>
  </si>
  <si>
    <t>Тр-ёмк без отпуска</t>
  </si>
  <si>
    <t>СВ</t>
  </si>
  <si>
    <t>ФСС</t>
  </si>
  <si>
    <t>Балабанов К.В.</t>
  </si>
  <si>
    <t>Босов А.В.</t>
  </si>
  <si>
    <t>Вечканова Н.Б.</t>
  </si>
  <si>
    <t>Гарныш Е.О.</t>
  </si>
  <si>
    <t>Гордеева Л.С.</t>
  </si>
  <si>
    <t>Гусев В.Н.</t>
  </si>
  <si>
    <t>Жилин И.А.</t>
  </si>
  <si>
    <t>Журавлев В.В.</t>
  </si>
  <si>
    <t>Иванов А.В.</t>
  </si>
  <si>
    <t>Капустин В.А.</t>
  </si>
  <si>
    <t>Козлов Д.Ю.</t>
  </si>
  <si>
    <t>Колесникова Л.Н.</t>
  </si>
  <si>
    <t>Кочкин А.В.</t>
  </si>
  <si>
    <t>Краюшкин Д.В.</t>
  </si>
  <si>
    <t>Краюшкина Е.Б.</t>
  </si>
  <si>
    <t>Крикун Л.С.</t>
  </si>
  <si>
    <t>Крылов Е.А.</t>
  </si>
  <si>
    <t>Кудрицкая И.И.</t>
  </si>
  <si>
    <t>Кудрицкая Л.Н.</t>
  </si>
  <si>
    <t>Кудрицкий И.В.</t>
  </si>
  <si>
    <t>Кутомкин К.М.</t>
  </si>
  <si>
    <t>Лукашин Д.Ю.</t>
  </si>
  <si>
    <t>Лыкова Е.Н.</t>
  </si>
  <si>
    <t>Манасян М.М.</t>
  </si>
  <si>
    <t>Мануилов Е.Н.</t>
  </si>
  <si>
    <t>Мартынова Я.В.</t>
  </si>
  <si>
    <t>Миллер Г.Б.</t>
  </si>
  <si>
    <t>Нагайцева С.В.</t>
  </si>
  <si>
    <t>Нарожная К.М.</t>
  </si>
  <si>
    <t>Неделина А.Ю.</t>
  </si>
  <si>
    <t>Орешкина Ю.М.</t>
  </si>
  <si>
    <t>Перегудов А.А.</t>
  </si>
  <si>
    <t>Перминов А.Н.</t>
  </si>
  <si>
    <t>Рыбникова Н.С.</t>
  </si>
  <si>
    <t>Рыбникова О.А.</t>
  </si>
  <si>
    <t>Рыжков В.В.</t>
  </si>
  <si>
    <t>Савицкий А.В.</t>
  </si>
  <si>
    <t>Савченко П.А.</t>
  </si>
  <si>
    <t>Саков К.А.</t>
  </si>
  <si>
    <t>Серегин С.С.</t>
  </si>
  <si>
    <t>Смотряков Д.В.</t>
  </si>
  <si>
    <t>Снитко В.В.</t>
  </si>
  <si>
    <t>Стефанович А.И.</t>
  </si>
  <si>
    <t>Тарасов А.В.</t>
  </si>
  <si>
    <t>Чавтараев Б.А.</t>
  </si>
  <si>
    <t>Чавтараев Р.Б.</t>
  </si>
  <si>
    <t>Чапарин А.Н.</t>
  </si>
  <si>
    <t>Юхименко А.А.</t>
  </si>
  <si>
    <t>ФОТ</t>
  </si>
  <si>
    <t>ИТОГО :</t>
  </si>
  <si>
    <t>ИТОГО  АУП</t>
  </si>
  <si>
    <t>ИТОГО ИЛ</t>
  </si>
  <si>
    <t>ИТОГО  ТП</t>
  </si>
  <si>
    <t>НСиПЗ (0,2%)</t>
  </si>
  <si>
    <t>ПРОВЕРКА</t>
  </si>
  <si>
    <t>Данные Бух и ЗиК</t>
  </si>
  <si>
    <t>ФФОМС</t>
  </si>
  <si>
    <t>ФСС НС</t>
  </si>
  <si>
    <t xml:space="preserve"> Распределение 0,2% по СП</t>
  </si>
  <si>
    <t>АУП</t>
  </si>
  <si>
    <t>ИЛ</t>
  </si>
  <si>
    <t>ТП</t>
  </si>
  <si>
    <t>СВ АУП всего</t>
  </si>
  <si>
    <t>СВ ИЛ всего</t>
  </si>
  <si>
    <t>СВ ТП всего</t>
  </si>
  <si>
    <t>Мануилов Е.Н. (ИЛ)</t>
  </si>
  <si>
    <t>Тарасов А.В. (ИЛ)</t>
  </si>
  <si>
    <t>Чапарин А.Н. (ИЛ)</t>
  </si>
  <si>
    <t>Краюшкина</t>
  </si>
  <si>
    <t>Лыкова</t>
  </si>
  <si>
    <t>Неделина</t>
  </si>
  <si>
    <t>Утверждена постановлением Госкомстата</t>
  </si>
  <si>
    <t>России от 05.01.2004 N 1</t>
  </si>
  <si>
    <t>Код</t>
  </si>
  <si>
    <t>Форма по ОКУД</t>
  </si>
  <si>
    <t>0301017</t>
  </si>
  <si>
    <t>ООО "САЙТЭК"</t>
  </si>
  <si>
    <t>по ОКПО</t>
  </si>
  <si>
    <t>наименование организации</t>
  </si>
  <si>
    <t>Номер документа</t>
  </si>
  <si>
    <t>Дата составления</t>
  </si>
  <si>
    <t>ШТАТНОЕ РАСПИСАНИЕ</t>
  </si>
  <si>
    <t xml:space="preserve">     УТВЕРЖДЕНО</t>
  </si>
  <si>
    <t xml:space="preserve">на период c  " </t>
  </si>
  <si>
    <t>г.</t>
  </si>
  <si>
    <t xml:space="preserve">               Приказом организации от</t>
  </si>
  <si>
    <t xml:space="preserve"> "___" _______ 2015 г.  № ___</t>
  </si>
  <si>
    <t xml:space="preserve">Штат в количестве </t>
  </si>
  <si>
    <t xml:space="preserve"> единиц</t>
  </si>
  <si>
    <t xml:space="preserve">с месячным фондом заработной платы  </t>
  </si>
  <si>
    <t>руб.</t>
  </si>
  <si>
    <t>Структурное подразделение</t>
  </si>
  <si>
    <t>Должность (специальность, профессия), разряд, класс (категория) квалификации</t>
  </si>
  <si>
    <t>Коли-чество штатных единиц</t>
  </si>
  <si>
    <t>Тарифная ставка (оклад) и пр., руб</t>
  </si>
  <si>
    <t>Надбавки, руб</t>
  </si>
  <si>
    <t>Всего, руб (гр.5 +гр.6)</t>
  </si>
  <si>
    <t>Примечание</t>
  </si>
  <si>
    <t>010209</t>
  </si>
  <si>
    <t>наименование</t>
  </si>
  <si>
    <t>код</t>
  </si>
  <si>
    <t>Секр.</t>
  </si>
  <si>
    <t>1</t>
  </si>
  <si>
    <t>2</t>
  </si>
  <si>
    <t>3</t>
  </si>
  <si>
    <t>4</t>
  </si>
  <si>
    <t>5</t>
  </si>
  <si>
    <t>6</t>
  </si>
  <si>
    <t>7</t>
  </si>
  <si>
    <t>8</t>
  </si>
  <si>
    <t>Административный департамент</t>
  </si>
  <si>
    <t>01</t>
  </si>
  <si>
    <t>Генеральный директор</t>
  </si>
  <si>
    <t>Первый заместитель генерального директора</t>
  </si>
  <si>
    <t>Заместитель генерального директора</t>
  </si>
  <si>
    <t>Финансовый директор</t>
  </si>
  <si>
    <t>Главный бухгалтер</t>
  </si>
  <si>
    <t>Помощник генерального директора</t>
  </si>
  <si>
    <t>Консультант генерального директора</t>
  </si>
  <si>
    <t>Планово-экономическая группа</t>
  </si>
  <si>
    <t>01.1</t>
  </si>
  <si>
    <t>Руководитель группы</t>
  </si>
  <si>
    <t>Главный специалист</t>
  </si>
  <si>
    <t>Ведущий специалист</t>
  </si>
  <si>
    <t>Специалист</t>
  </si>
  <si>
    <t>Договорная группа</t>
  </si>
  <si>
    <t>01.2</t>
  </si>
  <si>
    <t>Заместитель генерального директора по правовым вопросам</t>
  </si>
  <si>
    <t>Служба качества</t>
  </si>
  <si>
    <t>01.3</t>
  </si>
  <si>
    <t>Заместитель генерального директора - руководитель службы качества</t>
  </si>
  <si>
    <t>Нормоконтролер</t>
  </si>
  <si>
    <t>совмещение</t>
  </si>
  <si>
    <t>Департамент разработки и внедрения информационных систем</t>
  </si>
  <si>
    <t>02</t>
  </si>
  <si>
    <t>Главный научный консультант</t>
  </si>
  <si>
    <t>Отдел разработки и технологий</t>
  </si>
  <si>
    <t>02.1</t>
  </si>
  <si>
    <t>Руководитель отдела</t>
  </si>
  <si>
    <t>Ведущий программист</t>
  </si>
  <si>
    <t>Программист</t>
  </si>
  <si>
    <t>Ведущий инженер</t>
  </si>
  <si>
    <t>02.2</t>
  </si>
  <si>
    <t>Отдел управления проектами и внедрения</t>
  </si>
  <si>
    <t>02.3</t>
  </si>
  <si>
    <t>Руководитель проектов</t>
  </si>
  <si>
    <t>Cпециалист</t>
  </si>
  <si>
    <t>Инженер</t>
  </si>
  <si>
    <t>Отдел аналитики и консалтинга</t>
  </si>
  <si>
    <t>Ведущий аналитик</t>
  </si>
  <si>
    <t>Аналитик</t>
  </si>
  <si>
    <t xml:space="preserve">Испытательная лаборатория </t>
  </si>
  <si>
    <t>03</t>
  </si>
  <si>
    <t>Руководитель испытательной лаборатории</t>
  </si>
  <si>
    <t>Специалист ответственный за систему  обеспечения качества</t>
  </si>
  <si>
    <t xml:space="preserve">Ведущий специалист по специальному инженерному анализу продукции </t>
  </si>
  <si>
    <t>Ведущий специалист по исследованиям функциональных свойств программных и программно-технических комплексов</t>
  </si>
  <si>
    <t>Итого</t>
  </si>
  <si>
    <t>Надбавка в столбце 6 - за работу со сведениями, имеющими степень секретности</t>
  </si>
  <si>
    <t>Генеральный директор     _____________   Краюшкин Д.В.</t>
  </si>
  <si>
    <t>Главный бухгалтер            _____________  Крикун Л.С.</t>
  </si>
  <si>
    <t>отп по уходу за ребенком</t>
  </si>
  <si>
    <t>Босов А.В.(совм.)</t>
  </si>
  <si>
    <t>Смотряков Д.В.(совм.)</t>
  </si>
  <si>
    <t>Гусев В.Н.(совм.)</t>
  </si>
  <si>
    <t>Перминов А.Н. (совм.)</t>
  </si>
  <si>
    <t>Савченко П.А.(совм.)</t>
  </si>
  <si>
    <t>Чавтараев Р.Б.(совм.)</t>
  </si>
  <si>
    <t>Чавтараев Б.А.(совм.)</t>
  </si>
  <si>
    <t>Иванов А.В.(совм.)</t>
  </si>
  <si>
    <t>Савицкий А.В.(совм.)</t>
  </si>
  <si>
    <t>Жилин И.А.(совм.)</t>
  </si>
  <si>
    <t>Балабанов К.В.(совм.)</t>
  </si>
  <si>
    <t xml:space="preserve">Журавлев В.В.(совм.) </t>
  </si>
  <si>
    <t>Юхименко А.А.(совм.)</t>
  </si>
  <si>
    <t>Нарожная К.М.(совм.)</t>
  </si>
  <si>
    <t>Миллер Г.Б.(совм.)</t>
  </si>
  <si>
    <t>Стефанович А.И.(совм.)</t>
  </si>
  <si>
    <t>Манасян М.М.(совм.)</t>
  </si>
  <si>
    <t>Серегин С.С.(совм.)</t>
  </si>
  <si>
    <t>Рыбникова Н.С.(совм.)</t>
  </si>
  <si>
    <t>Гордеева Л.С.(совм.)</t>
  </si>
  <si>
    <t>Рыбникова О.А.(совм.)</t>
  </si>
  <si>
    <t>Тарасов А.В.(вн.совм.)</t>
  </si>
  <si>
    <t>Мануилов Е.Н.(вн.совм.)</t>
  </si>
  <si>
    <t>Чапарин А.Н.(вн.совм.)</t>
  </si>
  <si>
    <t>по основному месту</t>
  </si>
  <si>
    <t>совместитель</t>
  </si>
  <si>
    <t>занято должн. ед.</t>
  </si>
  <si>
    <t>Гришаев А.А.</t>
  </si>
  <si>
    <t>статус</t>
  </si>
  <si>
    <t>ставка</t>
  </si>
  <si>
    <t>отпуск за свой счет</t>
  </si>
  <si>
    <t>плюс ФОТ</t>
  </si>
  <si>
    <t>плюс ставка</t>
  </si>
  <si>
    <t>+</t>
  </si>
  <si>
    <t>образование</t>
  </si>
  <si>
    <t>в отпуске в 2018 году</t>
  </si>
  <si>
    <t>половина ставки в 2018 году</t>
  </si>
  <si>
    <t>выход из отпуска с 03.09</t>
  </si>
  <si>
    <t>полная ставка в 2018 году</t>
  </si>
  <si>
    <t>Чапарин А.Н. (вн. совм.)</t>
  </si>
  <si>
    <t>Вечканова Н.Б. (вн. совм.)</t>
  </si>
  <si>
    <t>0,1 ставки в 2018 году</t>
  </si>
  <si>
    <t>Консультант департамента</t>
  </si>
  <si>
    <t>Гайнуллин И.К.</t>
  </si>
  <si>
    <t>полная ставка с 03.09</t>
  </si>
  <si>
    <t>половина ставки с 28.08</t>
  </si>
  <si>
    <t>в ноябре-декабре при наличии отпуска, больничного</t>
  </si>
  <si>
    <t>Уволен 30.11.18</t>
  </si>
  <si>
    <t>Режимно-секретный орган</t>
  </si>
  <si>
    <t>01.4</t>
  </si>
  <si>
    <t>Руководитель</t>
  </si>
  <si>
    <t>Допуск к ГТ</t>
  </si>
  <si>
    <t xml:space="preserve">               Приказом организации от  "___" _______ 2019 г.  № ___</t>
  </si>
  <si>
    <t xml:space="preserve"> </t>
  </si>
  <si>
    <t>УТВЕРЖДЕНО</t>
  </si>
  <si>
    <t xml:space="preserve">           </t>
  </si>
  <si>
    <t xml:space="preserve">                                                                 ШТАТНОЕ РАСПИСАНИЕ</t>
  </si>
  <si>
    <t xml:space="preserve">                                                                                          наименование организации</t>
  </si>
  <si>
    <t xml:space="preserve">Должность </t>
  </si>
</sst>
</file>

<file path=xl/styles.xml><?xml version="1.0" encoding="utf-8"?>
<styleSheet xmlns="http://schemas.openxmlformats.org/spreadsheetml/2006/main">
  <numFmts count="7">
    <numFmt numFmtId="164" formatCode="#,##0.00_ ;[Red]\-#,##0.00\ "/>
    <numFmt numFmtId="165" formatCode="0.0000"/>
    <numFmt numFmtId="166" formatCode="#,##0.0000"/>
    <numFmt numFmtId="167" formatCode="0.0"/>
    <numFmt numFmtId="168" formatCode="#,##0&quot;р.&quot;"/>
    <numFmt numFmtId="169" formatCode="_-* #,##0&quot;р.&quot;_-;\-* #,##0&quot;р.&quot;_-;_-* &quot;-&quot;&quot;р.&quot;_-;_-@_-"/>
    <numFmt numFmtId="170" formatCode="0.00_ ;[Red]\-0.00\ "/>
  </numFmts>
  <fonts count="2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Arial Cyr"/>
      <family val="2"/>
      <charset val="204"/>
    </font>
    <font>
      <b/>
      <sz val="14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b/>
      <sz val="12"/>
      <name val="Arial Cyr"/>
      <charset val="204"/>
    </font>
    <font>
      <sz val="10"/>
      <color indexed="15"/>
      <name val="Arial Cyr"/>
      <family val="2"/>
      <charset val="204"/>
    </font>
    <font>
      <sz val="9"/>
      <color indexed="14"/>
      <name val="Arial Cyr"/>
      <family val="2"/>
      <charset val="204"/>
    </font>
    <font>
      <sz val="9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color rgb="FFFF0000"/>
      <name val="Arial Cyr"/>
      <family val="2"/>
      <charset val="204"/>
    </font>
    <font>
      <b/>
      <sz val="10"/>
      <color rgb="FFFF0000"/>
      <name val="Arial Cyr"/>
      <family val="2"/>
      <charset val="204"/>
    </font>
    <font>
      <b/>
      <sz val="9"/>
      <color rgb="FFFF0000"/>
      <name val="Arial Cyr"/>
      <charset val="204"/>
    </font>
    <font>
      <b/>
      <sz val="11"/>
      <name val="Arial Cyr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90">
    <xf numFmtId="0" fontId="0" fillId="0" borderId="0" xfId="0"/>
    <xf numFmtId="0" fontId="2" fillId="0" borderId="0" xfId="1" applyFont="1" applyAlignment="1">
      <alignment horizontal="center" vertical="center"/>
    </xf>
    <xf numFmtId="49" fontId="3" fillId="0" borderId="0" xfId="1" applyNumberFormat="1" applyFont="1" applyAlignment="1">
      <alignment horizontal="center" vertical="center"/>
    </xf>
    <xf numFmtId="0" fontId="2" fillId="0" borderId="0" xfId="1" applyFont="1"/>
    <xf numFmtId="17" fontId="2" fillId="11" borderId="0" xfId="1" applyNumberFormat="1" applyFont="1" applyFill="1" applyBorder="1" applyAlignment="1">
      <alignment horizontal="center"/>
    </xf>
    <xf numFmtId="4" fontId="2" fillId="0" borderId="0" xfId="1" applyNumberFormat="1" applyFont="1"/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5" borderId="4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 wrapText="1"/>
    </xf>
    <xf numFmtId="0" fontId="3" fillId="7" borderId="4" xfId="1" applyFont="1" applyFill="1" applyBorder="1" applyAlignment="1">
      <alignment horizontal="center" vertical="center" wrapText="1"/>
    </xf>
    <xf numFmtId="0" fontId="3" fillId="8" borderId="4" xfId="1" applyFont="1" applyFill="1" applyBorder="1" applyAlignment="1">
      <alignment horizontal="center" vertical="center" wrapText="1"/>
    </xf>
    <xf numFmtId="0" fontId="3" fillId="9" borderId="4" xfId="1" applyFont="1" applyFill="1" applyBorder="1" applyAlignment="1">
      <alignment horizontal="center" vertical="center" wrapText="1"/>
    </xf>
    <xf numFmtId="0" fontId="3" fillId="10" borderId="4" xfId="1" applyFont="1" applyFill="1" applyBorder="1" applyAlignment="1">
      <alignment horizontal="center" vertical="center" wrapText="1"/>
    </xf>
    <xf numFmtId="0" fontId="3" fillId="11" borderId="4" xfId="1" applyFont="1" applyFill="1" applyBorder="1" applyAlignment="1">
      <alignment horizontal="center" vertical="center" wrapText="1"/>
    </xf>
    <xf numFmtId="0" fontId="3" fillId="11" borderId="0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4" fontId="2" fillId="12" borderId="4" xfId="1" applyNumberFormat="1" applyFont="1" applyFill="1" applyBorder="1" applyAlignment="1">
      <alignment horizontal="center" vertical="center"/>
    </xf>
    <xf numFmtId="4" fontId="2" fillId="13" borderId="0" xfId="1" applyNumberFormat="1" applyFont="1" applyFill="1" applyBorder="1" applyAlignment="1">
      <alignment horizontal="center" vertical="center"/>
    </xf>
    <xf numFmtId="164" fontId="2" fillId="13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13" borderId="4" xfId="1" applyFont="1" applyFill="1" applyBorder="1" applyAlignment="1">
      <alignment horizontal="center" vertical="center"/>
    </xf>
    <xf numFmtId="4" fontId="2" fillId="13" borderId="4" xfId="1" applyNumberFormat="1" applyFont="1" applyFill="1" applyBorder="1" applyAlignment="1">
      <alignment horizontal="center" vertical="center"/>
    </xf>
    <xf numFmtId="165" fontId="2" fillId="13" borderId="4" xfId="1" applyNumberFormat="1" applyFont="1" applyFill="1" applyBorder="1" applyAlignment="1">
      <alignment horizontal="center" vertical="center"/>
    </xf>
    <xf numFmtId="0" fontId="2" fillId="3" borderId="4" xfId="1" applyNumberFormat="1" applyFont="1" applyFill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0" fontId="2" fillId="13" borderId="0" xfId="1" applyFont="1" applyFill="1" applyBorder="1" applyAlignment="1">
      <alignment horizontal="center" vertical="center"/>
    </xf>
    <xf numFmtId="4" fontId="2" fillId="5" borderId="4" xfId="1" applyNumberFormat="1" applyFont="1" applyFill="1" applyBorder="1" applyAlignment="1">
      <alignment horizontal="center" vertical="center"/>
    </xf>
    <xf numFmtId="165" fontId="2" fillId="5" borderId="4" xfId="1" applyNumberFormat="1" applyFont="1" applyFill="1" applyBorder="1" applyAlignment="1">
      <alignment horizontal="center" vertical="center"/>
    </xf>
    <xf numFmtId="0" fontId="2" fillId="5" borderId="4" xfId="1" applyNumberFormat="1" applyFont="1" applyFill="1" applyBorder="1" applyAlignment="1">
      <alignment horizontal="center" vertical="center"/>
    </xf>
    <xf numFmtId="0" fontId="2" fillId="13" borderId="4" xfId="1" applyNumberFormat="1" applyFont="1" applyFill="1" applyBorder="1" applyAlignment="1">
      <alignment horizontal="center" vertical="center"/>
    </xf>
    <xf numFmtId="0" fontId="2" fillId="13" borderId="0" xfId="1" applyFont="1" applyFill="1"/>
    <xf numFmtId="4" fontId="4" fillId="13" borderId="5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horizontal="center" vertical="center"/>
    </xf>
    <xf numFmtId="0" fontId="2" fillId="5" borderId="0" xfId="1" applyFont="1" applyFill="1"/>
    <xf numFmtId="0" fontId="2" fillId="13" borderId="4" xfId="2" applyFont="1" applyFill="1" applyBorder="1" applyAlignment="1">
      <alignment horizontal="center" vertical="center"/>
    </xf>
    <xf numFmtId="4" fontId="6" fillId="13" borderId="5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right" vertical="center"/>
    </xf>
    <xf numFmtId="4" fontId="3" fillId="0" borderId="4" xfId="1" applyNumberFormat="1" applyFont="1" applyFill="1" applyBorder="1" applyAlignment="1">
      <alignment horizontal="center" vertical="center"/>
    </xf>
    <xf numFmtId="166" fontId="3" fillId="0" borderId="4" xfId="1" applyNumberFormat="1" applyFont="1" applyFill="1" applyBorder="1" applyAlignment="1">
      <alignment horizontal="center" vertical="center"/>
    </xf>
    <xf numFmtId="4" fontId="3" fillId="13" borderId="0" xfId="1" applyNumberFormat="1" applyFont="1" applyFill="1" applyBorder="1" applyAlignment="1">
      <alignment horizontal="center" vertical="center"/>
    </xf>
    <xf numFmtId="4" fontId="3" fillId="0" borderId="0" xfId="1" applyNumberFormat="1" applyFont="1" applyBorder="1"/>
    <xf numFmtId="0" fontId="3" fillId="0" borderId="0" xfId="1" applyFont="1" applyBorder="1"/>
    <xf numFmtId="0" fontId="2" fillId="14" borderId="1" xfId="1" applyFont="1" applyFill="1" applyBorder="1"/>
    <xf numFmtId="0" fontId="3" fillId="5" borderId="2" xfId="1" applyFont="1" applyFill="1" applyBorder="1" applyAlignment="1">
      <alignment horizontal="right"/>
    </xf>
    <xf numFmtId="166" fontId="2" fillId="5" borderId="4" xfId="1" applyNumberFormat="1" applyFont="1" applyFill="1" applyBorder="1" applyAlignment="1">
      <alignment horizontal="center" vertical="center"/>
    </xf>
    <xf numFmtId="4" fontId="2" fillId="5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/>
    <xf numFmtId="0" fontId="2" fillId="0" borderId="1" xfId="1" applyFont="1" applyFill="1" applyBorder="1"/>
    <xf numFmtId="0" fontId="2" fillId="0" borderId="4" xfId="1" applyFont="1" applyFill="1" applyBorder="1"/>
    <xf numFmtId="4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0" fontId="2" fillId="0" borderId="0" xfId="1" applyFont="1" applyAlignment="1">
      <alignment horizontal="center"/>
    </xf>
    <xf numFmtId="4" fontId="2" fillId="0" borderId="4" xfId="1" applyNumberFormat="1" applyFont="1" applyBorder="1"/>
    <xf numFmtId="0" fontId="2" fillId="0" borderId="4" xfId="1" applyFont="1" applyBorder="1"/>
    <xf numFmtId="4" fontId="2" fillId="0" borderId="0" xfId="1" applyNumberFormat="1" applyFont="1" applyBorder="1"/>
    <xf numFmtId="0" fontId="2" fillId="0" borderId="0" xfId="1" applyFont="1" applyFill="1" applyBorder="1" applyAlignment="1">
      <alignment horizontal="center"/>
    </xf>
    <xf numFmtId="4" fontId="2" fillId="5" borderId="4" xfId="1" applyNumberFormat="1" applyFont="1" applyFill="1" applyBorder="1"/>
    <xf numFmtId="0" fontId="2" fillId="5" borderId="4" xfId="1" applyFont="1" applyFill="1" applyBorder="1"/>
    <xf numFmtId="4" fontId="2" fillId="5" borderId="0" xfId="1" applyNumberFormat="1" applyFont="1" applyFill="1" applyBorder="1"/>
    <xf numFmtId="0" fontId="2" fillId="0" borderId="0" xfId="1" applyFont="1" applyFill="1" applyBorder="1" applyAlignment="1">
      <alignment horizontal="right"/>
    </xf>
    <xf numFmtId="4" fontId="2" fillId="15" borderId="0" xfId="1" applyNumberFormat="1" applyFont="1" applyFill="1" applyBorder="1"/>
    <xf numFmtId="4" fontId="3" fillId="0" borderId="4" xfId="1" applyNumberFormat="1" applyFont="1" applyFill="1" applyBorder="1"/>
    <xf numFmtId="166" fontId="2" fillId="0" borderId="4" xfId="1" applyNumberFormat="1" applyFont="1" applyFill="1" applyBorder="1"/>
    <xf numFmtId="4" fontId="3" fillId="0" borderId="0" xfId="1" applyNumberFormat="1" applyFont="1" applyFill="1" applyBorder="1"/>
    <xf numFmtId="0" fontId="2" fillId="14" borderId="6" xfId="1" applyFont="1" applyFill="1" applyBorder="1" applyAlignment="1">
      <alignment wrapText="1"/>
    </xf>
    <xf numFmtId="0" fontId="2" fillId="0" borderId="2" xfId="1" applyFont="1" applyBorder="1"/>
    <xf numFmtId="4" fontId="2" fillId="0" borderId="0" xfId="1" applyNumberFormat="1" applyFont="1" applyFill="1" applyBorder="1" applyAlignment="1">
      <alignment horizontal="right"/>
    </xf>
    <xf numFmtId="4" fontId="2" fillId="0" borderId="7" xfId="1" applyNumberFormat="1" applyFont="1" applyFill="1" applyBorder="1"/>
    <xf numFmtId="4" fontId="2" fillId="0" borderId="0" xfId="1" applyNumberFormat="1" applyFont="1" applyFill="1" applyBorder="1"/>
    <xf numFmtId="4" fontId="2" fillId="14" borderId="8" xfId="1" applyNumberFormat="1" applyFont="1" applyFill="1" applyBorder="1"/>
    <xf numFmtId="0" fontId="2" fillId="0" borderId="0" xfId="1" applyFont="1" applyBorder="1"/>
    <xf numFmtId="4" fontId="2" fillId="14" borderId="9" xfId="1" applyNumberFormat="1" applyFont="1" applyFill="1" applyBorder="1"/>
    <xf numFmtId="4" fontId="2" fillId="0" borderId="5" xfId="1" applyNumberFormat="1" applyFont="1" applyFill="1" applyBorder="1"/>
    <xf numFmtId="4" fontId="2" fillId="0" borderId="2" xfId="1" applyNumberFormat="1" applyFont="1" applyBorder="1"/>
    <xf numFmtId="2" fontId="2" fillId="0" borderId="2" xfId="1" applyNumberFormat="1" applyFont="1" applyBorder="1"/>
    <xf numFmtId="165" fontId="2" fillId="0" borderId="2" xfId="1" applyNumberFormat="1" applyFont="1" applyBorder="1"/>
    <xf numFmtId="4" fontId="2" fillId="4" borderId="4" xfId="1" applyNumberFormat="1" applyFont="1" applyFill="1" applyBorder="1"/>
    <xf numFmtId="4" fontId="2" fillId="0" borderId="7" xfId="1" applyNumberFormat="1" applyFont="1" applyBorder="1"/>
    <xf numFmtId="2" fontId="2" fillId="0" borderId="0" xfId="1" applyNumberFormat="1" applyFont="1" applyFill="1" applyBorder="1"/>
    <xf numFmtId="0" fontId="7" fillId="16" borderId="10" xfId="1" applyFont="1" applyFill="1" applyBorder="1" applyAlignment="1">
      <alignment wrapText="1"/>
    </xf>
    <xf numFmtId="165" fontId="2" fillId="0" borderId="0" xfId="1" applyNumberFormat="1" applyFont="1" applyBorder="1"/>
    <xf numFmtId="2" fontId="2" fillId="0" borderId="0" xfId="1" applyNumberFormat="1" applyFont="1" applyBorder="1"/>
    <xf numFmtId="0" fontId="3" fillId="5" borderId="3" xfId="1" applyFont="1" applyFill="1" applyBorder="1" applyAlignment="1">
      <alignment horizontal="right"/>
    </xf>
    <xf numFmtId="2" fontId="3" fillId="5" borderId="5" xfId="1" applyNumberFormat="1" applyFont="1" applyFill="1" applyBorder="1" applyAlignment="1">
      <alignment horizontal="right"/>
    </xf>
    <xf numFmtId="2" fontId="3" fillId="5" borderId="3" xfId="1" applyNumberFormat="1" applyFont="1" applyFill="1" applyBorder="1" applyAlignment="1">
      <alignment horizontal="right"/>
    </xf>
    <xf numFmtId="2" fontId="3" fillId="5" borderId="0" xfId="1" applyNumberFormat="1" applyFont="1" applyFill="1" applyBorder="1" applyAlignment="1">
      <alignment horizontal="right"/>
    </xf>
    <xf numFmtId="2" fontId="2" fillId="0" borderId="13" xfId="1" applyNumberFormat="1" applyFont="1" applyBorder="1"/>
    <xf numFmtId="2" fontId="2" fillId="0" borderId="0" xfId="1" applyNumberFormat="1" applyFont="1"/>
    <xf numFmtId="0" fontId="2" fillId="0" borderId="7" xfId="1" applyFont="1" applyBorder="1"/>
    <xf numFmtId="4" fontId="2" fillId="5" borderId="7" xfId="1" applyNumberFormat="1" applyFont="1" applyFill="1" applyBorder="1"/>
    <xf numFmtId="4" fontId="2" fillId="13" borderId="0" xfId="1" applyNumberFormat="1" applyFont="1" applyFill="1" applyBorder="1"/>
    <xf numFmtId="0" fontId="2" fillId="13" borderId="0" xfId="1" applyFont="1" applyFill="1" applyBorder="1" applyAlignment="1">
      <alignment horizontal="right" wrapText="1"/>
    </xf>
    <xf numFmtId="165" fontId="2" fillId="13" borderId="0" xfId="1" applyNumberFormat="1" applyFont="1" applyFill="1" applyBorder="1" applyAlignment="1">
      <alignment horizontal="right"/>
    </xf>
    <xf numFmtId="0" fontId="2" fillId="13" borderId="0" xfId="1" applyFont="1" applyFill="1" applyBorder="1" applyAlignment="1">
      <alignment horizontal="right"/>
    </xf>
    <xf numFmtId="4" fontId="2" fillId="0" borderId="2" xfId="1" applyNumberFormat="1" applyFont="1" applyFill="1" applyBorder="1"/>
    <xf numFmtId="0" fontId="2" fillId="13" borderId="0" xfId="1" applyFont="1" applyFill="1" applyBorder="1"/>
    <xf numFmtId="49" fontId="2" fillId="13" borderId="0" xfId="1" applyNumberFormat="1" applyFont="1" applyFill="1" applyAlignment="1">
      <alignment horizontal="center" vertical="center"/>
    </xf>
    <xf numFmtId="0" fontId="3" fillId="13" borderId="4" xfId="1" applyFont="1" applyFill="1" applyBorder="1" applyAlignment="1">
      <alignment horizontal="center" vertical="center" wrapText="1"/>
    </xf>
    <xf numFmtId="0" fontId="3" fillId="13" borderId="2" xfId="1" applyFont="1" applyFill="1" applyBorder="1"/>
    <xf numFmtId="0" fontId="2" fillId="13" borderId="2" xfId="1" applyFont="1" applyFill="1" applyBorder="1"/>
    <xf numFmtId="17" fontId="2" fillId="2" borderId="1" xfId="1" applyNumberFormat="1" applyFont="1" applyFill="1" applyBorder="1" applyAlignment="1">
      <alignment horizontal="left"/>
    </xf>
    <xf numFmtId="0" fontId="2" fillId="3" borderId="4" xfId="1" applyFont="1" applyFill="1" applyBorder="1" applyAlignment="1">
      <alignment horizontal="center" vertical="center"/>
    </xf>
    <xf numFmtId="17" fontId="2" fillId="3" borderId="1" xfId="1" applyNumberFormat="1" applyFont="1" applyFill="1" applyBorder="1" applyAlignment="1">
      <alignment horizontal="left"/>
    </xf>
    <xf numFmtId="4" fontId="2" fillId="3" borderId="4" xfId="1" applyNumberFormat="1" applyFont="1" applyFill="1" applyBorder="1" applyAlignment="1">
      <alignment horizontal="center" vertical="center"/>
    </xf>
    <xf numFmtId="165" fontId="2" fillId="3" borderId="4" xfId="1" applyNumberFormat="1" applyFont="1" applyFill="1" applyBorder="1" applyAlignment="1">
      <alignment horizontal="center" vertical="center"/>
    </xf>
    <xf numFmtId="4" fontId="2" fillId="3" borderId="0" xfId="1" applyNumberFormat="1" applyFont="1" applyFill="1" applyBorder="1" applyAlignment="1">
      <alignment horizontal="center" vertical="center"/>
    </xf>
    <xf numFmtId="164" fontId="2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Border="1" applyAlignment="1">
      <alignment horizontal="center" vertical="center"/>
    </xf>
    <xf numFmtId="0" fontId="2" fillId="3" borderId="0" xfId="1" applyFont="1" applyFill="1"/>
    <xf numFmtId="17" fontId="2" fillId="5" borderId="1" xfId="1" applyNumberFormat="1" applyFont="1" applyFill="1" applyBorder="1" applyAlignment="1">
      <alignment horizontal="left"/>
    </xf>
    <xf numFmtId="164" fontId="2" fillId="5" borderId="0" xfId="1" applyNumberFormat="1" applyFont="1" applyFill="1" applyBorder="1" applyAlignment="1">
      <alignment horizontal="center" vertical="center"/>
    </xf>
    <xf numFmtId="17" fontId="2" fillId="13" borderId="1" xfId="1" applyNumberFormat="1" applyFont="1" applyFill="1" applyBorder="1" applyAlignment="1">
      <alignment horizontal="left"/>
    </xf>
    <xf numFmtId="0" fontId="2" fillId="9" borderId="4" xfId="1" applyFont="1" applyFill="1" applyBorder="1" applyAlignment="1">
      <alignment horizontal="center" vertical="center"/>
    </xf>
    <xf numFmtId="17" fontId="2" fillId="9" borderId="1" xfId="1" applyNumberFormat="1" applyFont="1" applyFill="1" applyBorder="1" applyAlignment="1">
      <alignment horizontal="left"/>
    </xf>
    <xf numFmtId="4" fontId="2" fillId="9" borderId="4" xfId="1" applyNumberFormat="1" applyFont="1" applyFill="1" applyBorder="1" applyAlignment="1">
      <alignment horizontal="center" vertical="center"/>
    </xf>
    <xf numFmtId="0" fontId="2" fillId="9" borderId="4" xfId="1" applyNumberFormat="1" applyFont="1" applyFill="1" applyBorder="1" applyAlignment="1">
      <alignment horizontal="center" vertical="center"/>
    </xf>
    <xf numFmtId="165" fontId="2" fillId="9" borderId="4" xfId="1" applyNumberFormat="1" applyFont="1" applyFill="1" applyBorder="1" applyAlignment="1">
      <alignment horizontal="center" vertical="center"/>
    </xf>
    <xf numFmtId="4" fontId="2" fillId="9" borderId="0" xfId="1" applyNumberFormat="1" applyFont="1" applyFill="1" applyBorder="1" applyAlignment="1">
      <alignment horizontal="center" vertical="center"/>
    </xf>
    <xf numFmtId="164" fontId="2" fillId="9" borderId="0" xfId="1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horizontal="center" vertical="center"/>
    </xf>
    <xf numFmtId="0" fontId="2" fillId="9" borderId="0" xfId="1" applyFont="1" applyFill="1"/>
    <xf numFmtId="4" fontId="2" fillId="4" borderId="4" xfId="1" applyNumberFormat="1" applyFont="1" applyFill="1" applyBorder="1" applyAlignment="1">
      <alignment horizontal="center" vertical="center"/>
    </xf>
    <xf numFmtId="4" fontId="2" fillId="4" borderId="0" xfId="1" applyNumberFormat="1" applyFont="1" applyFill="1" applyBorder="1" applyAlignment="1">
      <alignment horizontal="center" vertical="center"/>
    </xf>
    <xf numFmtId="0" fontId="2" fillId="4" borderId="0" xfId="1" applyFont="1" applyFill="1"/>
    <xf numFmtId="0" fontId="2" fillId="12" borderId="4" xfId="1" applyFont="1" applyFill="1" applyBorder="1" applyAlignment="1">
      <alignment horizontal="center" vertical="center"/>
    </xf>
    <xf numFmtId="17" fontId="2" fillId="12" borderId="1" xfId="1" applyNumberFormat="1" applyFont="1" applyFill="1" applyBorder="1" applyAlignment="1">
      <alignment horizontal="left"/>
    </xf>
    <xf numFmtId="17" fontId="2" fillId="0" borderId="1" xfId="1" applyNumberFormat="1" applyFont="1" applyFill="1" applyBorder="1" applyAlignment="1">
      <alignment horizontal="left"/>
    </xf>
    <xf numFmtId="4" fontId="2" fillId="0" borderId="4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0" fontId="2" fillId="9" borderId="1" xfId="1" applyFont="1" applyFill="1" applyBorder="1"/>
    <xf numFmtId="0" fontId="2" fillId="9" borderId="2" xfId="1" applyFont="1" applyFill="1" applyBorder="1"/>
    <xf numFmtId="0" fontId="3" fillId="9" borderId="2" xfId="1" applyFont="1" applyFill="1" applyBorder="1" applyAlignment="1">
      <alignment horizontal="right"/>
    </xf>
    <xf numFmtId="166" fontId="2" fillId="9" borderId="4" xfId="1" applyNumberFormat="1" applyFont="1" applyFill="1" applyBorder="1" applyAlignment="1">
      <alignment horizontal="center" vertical="center"/>
    </xf>
    <xf numFmtId="0" fontId="2" fillId="4" borderId="1" xfId="1" applyFont="1" applyFill="1" applyBorder="1"/>
    <xf numFmtId="0" fontId="2" fillId="4" borderId="2" xfId="1" applyFont="1" applyFill="1" applyBorder="1"/>
    <xf numFmtId="0" fontId="3" fillId="4" borderId="2" xfId="1" applyFont="1" applyFill="1" applyBorder="1" applyAlignment="1">
      <alignment horizontal="right"/>
    </xf>
    <xf numFmtId="166" fontId="2" fillId="4" borderId="4" xfId="1" applyNumberFormat="1" applyFont="1" applyFill="1" applyBorder="1" applyAlignment="1">
      <alignment horizontal="center" vertical="center"/>
    </xf>
    <xf numFmtId="0" fontId="3" fillId="9" borderId="3" xfId="1" applyFont="1" applyFill="1" applyBorder="1" applyAlignment="1">
      <alignment horizontal="right"/>
    </xf>
    <xf numFmtId="0" fontId="3" fillId="9" borderId="11" xfId="1" applyFont="1" applyFill="1" applyBorder="1" applyAlignment="1">
      <alignment horizontal="right"/>
    </xf>
    <xf numFmtId="2" fontId="3" fillId="9" borderId="11" xfId="1" applyNumberFormat="1" applyFont="1" applyFill="1" applyBorder="1" applyAlignment="1">
      <alignment horizontal="right"/>
    </xf>
    <xf numFmtId="2" fontId="3" fillId="9" borderId="3" xfId="1" applyNumberFormat="1" applyFont="1" applyFill="1" applyBorder="1" applyAlignment="1">
      <alignment horizontal="right"/>
    </xf>
    <xf numFmtId="2" fontId="3" fillId="9" borderId="0" xfId="1" applyNumberFormat="1" applyFont="1" applyFill="1" applyBorder="1" applyAlignment="1">
      <alignment horizontal="right"/>
    </xf>
    <xf numFmtId="0" fontId="3" fillId="4" borderId="3" xfId="1" applyFont="1" applyFill="1" applyBorder="1" applyAlignment="1">
      <alignment horizontal="right"/>
    </xf>
    <xf numFmtId="0" fontId="3" fillId="4" borderId="12" xfId="1" applyFont="1" applyFill="1" applyBorder="1" applyAlignment="1">
      <alignment horizontal="right"/>
    </xf>
    <xf numFmtId="2" fontId="3" fillId="4" borderId="12" xfId="1" applyNumberFormat="1" applyFont="1" applyFill="1" applyBorder="1" applyAlignment="1">
      <alignment horizontal="right"/>
    </xf>
    <xf numFmtId="2" fontId="3" fillId="4" borderId="3" xfId="1" applyNumberFormat="1" applyFont="1" applyFill="1" applyBorder="1" applyAlignment="1">
      <alignment horizontal="right"/>
    </xf>
    <xf numFmtId="2" fontId="3" fillId="4" borderId="0" xfId="1" applyNumberFormat="1" applyFont="1" applyFill="1" applyBorder="1" applyAlignment="1">
      <alignment horizontal="right"/>
    </xf>
    <xf numFmtId="0" fontId="2" fillId="4" borderId="12" xfId="1" applyFont="1" applyFill="1" applyBorder="1" applyAlignment="1">
      <alignment horizontal="left"/>
    </xf>
    <xf numFmtId="0" fontId="2" fillId="4" borderId="12" xfId="1" applyFont="1" applyFill="1" applyBorder="1" applyAlignment="1">
      <alignment horizontal="right"/>
    </xf>
    <xf numFmtId="4" fontId="2" fillId="4" borderId="0" xfId="1" applyNumberFormat="1" applyFont="1" applyFill="1" applyBorder="1"/>
    <xf numFmtId="4" fontId="2" fillId="4" borderId="0" xfId="1" applyNumberFormat="1" applyFont="1" applyFill="1" applyBorder="1" applyAlignment="1">
      <alignment horizontal="right"/>
    </xf>
    <xf numFmtId="0" fontId="2" fillId="9" borderId="2" xfId="1" applyFont="1" applyFill="1" applyBorder="1" applyAlignment="1">
      <alignment horizontal="right"/>
    </xf>
    <xf numFmtId="4" fontId="2" fillId="9" borderId="0" xfId="1" applyNumberFormat="1" applyFont="1" applyFill="1" applyBorder="1"/>
    <xf numFmtId="0" fontId="2" fillId="4" borderId="4" xfId="1" applyFont="1" applyFill="1" applyBorder="1"/>
    <xf numFmtId="166" fontId="2" fillId="4" borderId="4" xfId="1" applyNumberFormat="1" applyFont="1" applyFill="1" applyBorder="1"/>
    <xf numFmtId="166" fontId="2" fillId="13" borderId="4" xfId="1" applyNumberFormat="1" applyFont="1" applyFill="1" applyBorder="1" applyAlignment="1">
      <alignment horizontal="center" vertical="center"/>
    </xf>
    <xf numFmtId="166" fontId="2" fillId="12" borderId="4" xfId="1" applyNumberFormat="1" applyFont="1" applyFill="1" applyBorder="1" applyAlignment="1">
      <alignment horizontal="center" vertical="center"/>
    </xf>
    <xf numFmtId="166" fontId="2" fillId="3" borderId="4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center" vertical="center"/>
    </xf>
    <xf numFmtId="4" fontId="7" fillId="0" borderId="0" xfId="1" applyNumberFormat="1" applyFont="1"/>
    <xf numFmtId="49" fontId="8" fillId="13" borderId="0" xfId="1" applyNumberFormat="1" applyFont="1" applyFill="1" applyAlignment="1">
      <alignment vertical="center"/>
    </xf>
    <xf numFmtId="49" fontId="8" fillId="13" borderId="0" xfId="1" applyNumberFormat="1" applyFont="1" applyFill="1" applyAlignment="1">
      <alignment vertical="top"/>
    </xf>
    <xf numFmtId="1" fontId="8" fillId="13" borderId="0" xfId="1" applyNumberFormat="1" applyFont="1" applyFill="1" applyAlignment="1">
      <alignment vertical="center"/>
    </xf>
    <xf numFmtId="2" fontId="8" fillId="13" borderId="0" xfId="1" applyNumberFormat="1" applyFont="1" applyFill="1" applyAlignment="1">
      <alignment vertical="center"/>
    </xf>
    <xf numFmtId="4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right" vertical="center"/>
    </xf>
    <xf numFmtId="49" fontId="8" fillId="0" borderId="0" xfId="1" applyNumberFormat="1" applyFont="1" applyAlignment="1">
      <alignment horizontal="center" vertical="center"/>
    </xf>
    <xf numFmtId="49" fontId="8" fillId="0" borderId="0" xfId="1" applyNumberFormat="1" applyFont="1" applyAlignment="1">
      <alignment vertical="center"/>
    </xf>
    <xf numFmtId="49" fontId="8" fillId="13" borderId="0" xfId="1" applyNumberFormat="1" applyFont="1" applyFill="1" applyAlignment="1">
      <alignment horizontal="right" vertical="center"/>
    </xf>
    <xf numFmtId="49" fontId="8" fillId="0" borderId="14" xfId="1" applyNumberFormat="1" applyFont="1" applyBorder="1" applyAlignment="1">
      <alignment vertical="center"/>
    </xf>
    <xf numFmtId="49" fontId="9" fillId="0" borderId="15" xfId="1" applyNumberFormat="1" applyFont="1" applyBorder="1" applyAlignment="1">
      <alignment vertical="center"/>
    </xf>
    <xf numFmtId="49" fontId="8" fillId="0" borderId="16" xfId="1" applyNumberFormat="1" applyFont="1" applyBorder="1" applyAlignment="1">
      <alignment horizontal="right" vertical="center"/>
    </xf>
    <xf numFmtId="49" fontId="9" fillId="0" borderId="0" xfId="1" applyNumberFormat="1" applyFont="1" applyBorder="1" applyAlignment="1">
      <alignment vertical="center"/>
    </xf>
    <xf numFmtId="49" fontId="8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horizontal="lef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13" borderId="0" xfId="1" applyNumberFormat="1" applyFont="1" applyFill="1" applyAlignment="1">
      <alignment horizontal="center" vertical="center"/>
    </xf>
    <xf numFmtId="49" fontId="10" fillId="0" borderId="0" xfId="1" applyNumberFormat="1" applyFont="1" applyFill="1" applyAlignment="1">
      <alignment vertical="center"/>
    </xf>
    <xf numFmtId="0" fontId="1" fillId="0" borderId="0" xfId="1" applyFill="1" applyAlignment="1">
      <alignment vertical="center"/>
    </xf>
    <xf numFmtId="0" fontId="1" fillId="13" borderId="0" xfId="1" applyFill="1" applyAlignment="1">
      <alignment vertical="center"/>
    </xf>
    <xf numFmtId="49" fontId="10" fillId="0" borderId="0" xfId="1" applyNumberFormat="1" applyFont="1" applyFill="1" applyAlignment="1">
      <alignment horizontal="center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Alignment="1">
      <alignment horizontal="left" vertical="center"/>
    </xf>
    <xf numFmtId="2" fontId="10" fillId="0" borderId="0" xfId="1" applyNumberFormat="1" applyFont="1" applyFill="1" applyAlignment="1">
      <alignment horizontal="left" vertical="center"/>
    </xf>
    <xf numFmtId="49" fontId="10" fillId="13" borderId="0" xfId="1" applyNumberFormat="1" applyFont="1" applyFill="1" applyAlignment="1">
      <alignment horizontal="left" vertical="center"/>
    </xf>
    <xf numFmtId="167" fontId="13" fillId="13" borderId="0" xfId="1" applyNumberFormat="1" applyFont="1" applyFill="1" applyAlignment="1">
      <alignment vertical="top"/>
    </xf>
    <xf numFmtId="1" fontId="13" fillId="13" borderId="0" xfId="1" applyNumberFormat="1" applyFont="1" applyFill="1" applyAlignment="1">
      <alignment vertical="top"/>
    </xf>
    <xf numFmtId="168" fontId="8" fillId="17" borderId="0" xfId="1" applyNumberFormat="1" applyFont="1" applyFill="1" applyAlignment="1">
      <alignment vertical="center"/>
    </xf>
    <xf numFmtId="1" fontId="8" fillId="13" borderId="0" xfId="1" applyNumberFormat="1" applyFont="1" applyFill="1" applyAlignment="1">
      <alignment vertical="top"/>
    </xf>
    <xf numFmtId="4" fontId="8" fillId="0" borderId="0" xfId="1" applyNumberFormat="1" applyFont="1" applyFill="1" applyAlignment="1">
      <alignment vertical="center"/>
    </xf>
    <xf numFmtId="49" fontId="8" fillId="0" borderId="0" xfId="1" applyNumberFormat="1" applyFont="1" applyFill="1" applyAlignment="1">
      <alignment vertical="center"/>
    </xf>
    <xf numFmtId="49" fontId="10" fillId="17" borderId="4" xfId="1" applyNumberFormat="1" applyFont="1" applyFill="1" applyBorder="1" applyAlignment="1">
      <alignment vertical="top"/>
    </xf>
    <xf numFmtId="1" fontId="12" fillId="17" borderId="1" xfId="1" applyNumberFormat="1" applyFont="1" applyFill="1" applyBorder="1" applyAlignment="1">
      <alignment horizontal="center" vertical="top"/>
    </xf>
    <xf numFmtId="168" fontId="8" fillId="4" borderId="0" xfId="1" applyNumberFormat="1" applyFont="1" applyFill="1" applyAlignment="1">
      <alignment vertical="center"/>
    </xf>
    <xf numFmtId="168" fontId="8" fillId="0" borderId="0" xfId="1" applyNumberFormat="1" applyFont="1" applyFill="1" applyAlignment="1">
      <alignment vertical="center"/>
    </xf>
    <xf numFmtId="168" fontId="8" fillId="5" borderId="0" xfId="1" applyNumberFormat="1" applyFont="1" applyFill="1" applyAlignment="1">
      <alignment vertical="center"/>
    </xf>
    <xf numFmtId="168" fontId="8" fillId="13" borderId="0" xfId="1" applyNumberFormat="1" applyFont="1" applyFill="1" applyAlignment="1">
      <alignment vertical="center"/>
    </xf>
    <xf numFmtId="0" fontId="10" fillId="0" borderId="3" xfId="1" applyFont="1" applyFill="1" applyBorder="1" applyAlignment="1">
      <alignment vertical="top"/>
    </xf>
    <xf numFmtId="4" fontId="8" fillId="13" borderId="0" xfId="1" applyNumberFormat="1" applyFont="1" applyFill="1" applyAlignment="1">
      <alignment vertical="center"/>
    </xf>
    <xf numFmtId="0" fontId="10" fillId="0" borderId="3" xfId="1" applyFont="1" applyBorder="1" applyAlignment="1">
      <alignment vertical="top"/>
    </xf>
    <xf numFmtId="4" fontId="8" fillId="0" borderId="0" xfId="1" applyNumberFormat="1" applyFont="1" applyFill="1" applyBorder="1" applyAlignment="1">
      <alignment vertical="center"/>
    </xf>
    <xf numFmtId="49" fontId="10" fillId="18" borderId="1" xfId="1" applyNumberFormat="1" applyFont="1" applyFill="1" applyBorder="1" applyAlignment="1">
      <alignment vertical="top"/>
    </xf>
    <xf numFmtId="0" fontId="10" fillId="18" borderId="2" xfId="1" applyFont="1" applyFill="1" applyBorder="1" applyAlignment="1">
      <alignment vertical="top"/>
    </xf>
    <xf numFmtId="49" fontId="8" fillId="0" borderId="0" xfId="1" applyNumberFormat="1" applyFont="1" applyFill="1" applyBorder="1" applyAlignment="1">
      <alignment vertical="center"/>
    </xf>
    <xf numFmtId="1" fontId="12" fillId="0" borderId="1" xfId="1" applyNumberFormat="1" applyFont="1" applyFill="1" applyBorder="1" applyAlignment="1">
      <alignment horizontal="center" vertical="top"/>
    </xf>
    <xf numFmtId="1" fontId="12" fillId="0" borderId="2" xfId="1" applyNumberFormat="1" applyFont="1" applyFill="1" applyBorder="1" applyAlignment="1">
      <alignment horizontal="center" vertical="top"/>
    </xf>
    <xf numFmtId="1" fontId="12" fillId="0" borderId="5" xfId="1" applyNumberFormat="1" applyFont="1" applyFill="1" applyBorder="1" applyAlignment="1">
      <alignment horizontal="center" vertical="top"/>
    </xf>
    <xf numFmtId="168" fontId="8" fillId="20" borderId="0" xfId="1" applyNumberFormat="1" applyFont="1" applyFill="1" applyAlignment="1">
      <alignment vertical="center"/>
    </xf>
    <xf numFmtId="0" fontId="10" fillId="4" borderId="19" xfId="1" applyFont="1" applyFill="1" applyBorder="1" applyAlignment="1">
      <alignment vertical="top"/>
    </xf>
    <xf numFmtId="0" fontId="10" fillId="4" borderId="4" xfId="1" applyFont="1" applyFill="1" applyBorder="1" applyAlignment="1">
      <alignment vertical="top"/>
    </xf>
    <xf numFmtId="0" fontId="10" fillId="4" borderId="46" xfId="1" applyFont="1" applyFill="1" applyBorder="1" applyAlignment="1">
      <alignment vertical="top"/>
    </xf>
    <xf numFmtId="49" fontId="10" fillId="0" borderId="0" xfId="1" applyNumberFormat="1" applyFont="1" applyAlignment="1">
      <alignment horizontal="right" vertical="center"/>
    </xf>
    <xf numFmtId="49" fontId="10" fillId="0" borderId="0" xfId="1" applyNumberFormat="1" applyFont="1" applyAlignment="1">
      <alignment horizontal="right" vertical="center" indent="1"/>
    </xf>
    <xf numFmtId="49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Alignment="1">
      <alignment vertical="center"/>
    </xf>
    <xf numFmtId="168" fontId="14" fillId="0" borderId="0" xfId="1" applyNumberFormat="1" applyFont="1" applyFill="1" applyAlignment="1" applyProtection="1">
      <alignment vertical="center"/>
    </xf>
    <xf numFmtId="49" fontId="13" fillId="0" borderId="0" xfId="1" applyNumberFormat="1" applyFont="1" applyAlignment="1">
      <alignment horizontal="right" vertical="center"/>
    </xf>
    <xf numFmtId="49" fontId="8" fillId="0" borderId="0" xfId="1" applyNumberFormat="1" applyFont="1" applyAlignment="1">
      <alignment horizontal="left" vertical="center"/>
    </xf>
    <xf numFmtId="1" fontId="8" fillId="0" borderId="0" xfId="1" applyNumberFormat="1" applyFont="1" applyAlignment="1">
      <alignment horizontal="center" vertical="center"/>
    </xf>
    <xf numFmtId="2" fontId="8" fillId="0" borderId="0" xfId="1" applyNumberFormat="1" applyFont="1" applyAlignment="1">
      <alignment horizontal="center" vertical="center"/>
    </xf>
    <xf numFmtId="169" fontId="15" fillId="13" borderId="0" xfId="1" applyNumberFormat="1" applyFont="1" applyFill="1" applyAlignment="1">
      <alignment horizontal="center" vertical="center"/>
    </xf>
    <xf numFmtId="4" fontId="16" fillId="13" borderId="0" xfId="1" applyNumberFormat="1" applyFont="1" applyFill="1" applyAlignment="1">
      <alignment vertical="center"/>
    </xf>
    <xf numFmtId="49" fontId="10" fillId="13" borderId="0" xfId="1" applyNumberFormat="1" applyFont="1" applyFill="1" applyAlignment="1">
      <alignment vertical="center"/>
    </xf>
    <xf numFmtId="49" fontId="10" fillId="0" borderId="0" xfId="1" applyNumberFormat="1" applyFont="1" applyAlignment="1">
      <alignment horizontal="left" vertical="center"/>
    </xf>
    <xf numFmtId="168" fontId="8" fillId="0" borderId="0" xfId="1" applyNumberFormat="1" applyFont="1" applyAlignment="1">
      <alignment vertical="center"/>
    </xf>
    <xf numFmtId="169" fontId="15" fillId="0" borderId="0" xfId="1" applyNumberFormat="1" applyFont="1" applyAlignment="1">
      <alignment horizontal="center" vertical="center"/>
    </xf>
    <xf numFmtId="169" fontId="10" fillId="0" borderId="0" xfId="1" applyNumberFormat="1" applyFont="1" applyAlignment="1">
      <alignment vertical="center"/>
    </xf>
    <xf numFmtId="169" fontId="17" fillId="13" borderId="0" xfId="1" applyNumberFormat="1" applyFont="1" applyFill="1" applyAlignment="1">
      <alignment vertical="center"/>
    </xf>
    <xf numFmtId="169" fontId="10" fillId="0" borderId="0" xfId="1" applyNumberFormat="1" applyFont="1" applyAlignment="1">
      <alignment horizontal="right" vertical="center"/>
    </xf>
    <xf numFmtId="169" fontId="10" fillId="13" borderId="0" xfId="1" applyNumberFormat="1" applyFont="1" applyFill="1" applyAlignment="1">
      <alignment vertical="center"/>
    </xf>
    <xf numFmtId="169" fontId="14" fillId="0" borderId="0" xfId="1" applyNumberFormat="1" applyFont="1" applyAlignment="1">
      <alignment vertical="center"/>
    </xf>
    <xf numFmtId="168" fontId="14" fillId="13" borderId="0" xfId="1" applyNumberFormat="1" applyFont="1" applyFill="1" applyAlignment="1">
      <alignment vertical="center"/>
    </xf>
    <xf numFmtId="4" fontId="8" fillId="13" borderId="0" xfId="1" applyNumberFormat="1" applyFont="1" applyFill="1" applyAlignment="1">
      <alignment vertical="top"/>
    </xf>
    <xf numFmtId="169" fontId="8" fillId="0" borderId="0" xfId="1" applyNumberFormat="1" applyFont="1" applyAlignment="1">
      <alignment vertical="center"/>
    </xf>
    <xf numFmtId="49" fontId="18" fillId="0" borderId="0" xfId="1" applyNumberFormat="1" applyFont="1" applyAlignment="1">
      <alignment vertical="center"/>
    </xf>
    <xf numFmtId="49" fontId="8" fillId="0" borderId="0" xfId="1" applyNumberFormat="1" applyFont="1" applyAlignment="1">
      <alignment vertical="top"/>
    </xf>
    <xf numFmtId="49" fontId="14" fillId="0" borderId="0" xfId="1" applyNumberFormat="1" applyFont="1" applyAlignment="1">
      <alignment vertical="center"/>
    </xf>
    <xf numFmtId="1" fontId="8" fillId="5" borderId="0" xfId="1" applyNumberFormat="1" applyFont="1" applyFill="1" applyBorder="1" applyAlignment="1">
      <alignment vertical="top"/>
    </xf>
    <xf numFmtId="4" fontId="8" fillId="5" borderId="0" xfId="1" applyNumberFormat="1" applyFont="1" applyFill="1" applyBorder="1" applyAlignment="1">
      <alignment vertical="center"/>
    </xf>
    <xf numFmtId="49" fontId="8" fillId="5" borderId="0" xfId="1" applyNumberFormat="1" applyFont="1" applyFill="1" applyBorder="1" applyAlignment="1">
      <alignment vertical="center"/>
    </xf>
    <xf numFmtId="3" fontId="19" fillId="6" borderId="0" xfId="1" applyNumberFormat="1" applyFont="1" applyFill="1" applyBorder="1" applyAlignment="1">
      <alignment vertical="top"/>
    </xf>
    <xf numFmtId="49" fontId="8" fillId="4" borderId="0" xfId="1" applyNumberFormat="1" applyFont="1" applyFill="1" applyBorder="1" applyAlignment="1">
      <alignment vertical="center"/>
    </xf>
    <xf numFmtId="4" fontId="8" fillId="4" borderId="0" xfId="1" applyNumberFormat="1" applyFont="1" applyFill="1" applyBorder="1" applyAlignment="1">
      <alignment vertical="center"/>
    </xf>
    <xf numFmtId="49" fontId="8" fillId="13" borderId="0" xfId="1" applyNumberFormat="1" applyFont="1" applyFill="1" applyBorder="1" applyAlignment="1">
      <alignment vertical="center"/>
    </xf>
    <xf numFmtId="49" fontId="8" fillId="0" borderId="0" xfId="1" applyNumberFormat="1" applyFont="1" applyFill="1" applyBorder="1" applyAlignment="1">
      <alignment vertical="center" wrapText="1"/>
    </xf>
    <xf numFmtId="0" fontId="8" fillId="13" borderId="4" xfId="1" applyNumberFormat="1" applyFont="1" applyFill="1" applyBorder="1" applyAlignment="1">
      <alignment vertical="center"/>
    </xf>
    <xf numFmtId="3" fontId="13" fillId="13" borderId="4" xfId="1" applyNumberFormat="1" applyFont="1" applyFill="1" applyBorder="1" applyAlignment="1">
      <alignment vertical="top"/>
    </xf>
    <xf numFmtId="1" fontId="8" fillId="13" borderId="4" xfId="1" applyNumberFormat="1" applyFont="1" applyFill="1" applyBorder="1" applyAlignment="1">
      <alignment vertical="top"/>
    </xf>
    <xf numFmtId="0" fontId="8" fillId="13" borderId="4" xfId="1" applyNumberFormat="1" applyFont="1" applyFill="1" applyBorder="1" applyAlignment="1">
      <alignment vertical="top"/>
    </xf>
    <xf numFmtId="49" fontId="10" fillId="0" borderId="0" xfId="1" applyNumberFormat="1" applyFont="1" applyAlignment="1">
      <alignment vertical="center"/>
    </xf>
    <xf numFmtId="49" fontId="10" fillId="0" borderId="0" xfId="1" applyNumberFormat="1" applyFont="1" applyAlignment="1">
      <alignment horizontal="right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right" vertical="center"/>
    </xf>
    <xf numFmtId="49" fontId="8" fillId="0" borderId="0" xfId="1" applyNumberFormat="1" applyFont="1" applyAlignment="1">
      <alignment vertical="center"/>
    </xf>
    <xf numFmtId="49" fontId="10" fillId="0" borderId="0" xfId="1" applyNumberFormat="1" applyFont="1" applyAlignment="1">
      <alignment vertical="center"/>
    </xf>
    <xf numFmtId="49" fontId="8" fillId="0" borderId="0" xfId="1" applyNumberFormat="1" applyFont="1" applyFill="1" applyAlignment="1">
      <alignment vertical="center"/>
    </xf>
    <xf numFmtId="49" fontId="10" fillId="18" borderId="4" xfId="1" applyNumberFormat="1" applyFont="1" applyFill="1" applyBorder="1" applyAlignment="1">
      <alignment vertical="top"/>
    </xf>
    <xf numFmtId="49" fontId="12" fillId="0" borderId="40" xfId="1" applyNumberFormat="1" applyFont="1" applyFill="1" applyBorder="1" applyAlignment="1">
      <alignment horizontal="center" vertical="top"/>
    </xf>
    <xf numFmtId="49" fontId="10" fillId="18" borderId="1" xfId="1" applyNumberFormat="1" applyFont="1" applyFill="1" applyBorder="1" applyAlignment="1">
      <alignment horizontal="left" vertical="top"/>
    </xf>
    <xf numFmtId="3" fontId="1" fillId="0" borderId="1" xfId="1" applyNumberFormat="1" applyFont="1" applyFill="1" applyBorder="1" applyAlignment="1">
      <alignment horizontal="center" vertical="top"/>
    </xf>
    <xf numFmtId="3" fontId="1" fillId="0" borderId="2" xfId="1" applyNumberFormat="1" applyFont="1" applyFill="1" applyBorder="1" applyAlignment="1">
      <alignment horizontal="center" vertical="top"/>
    </xf>
    <xf numFmtId="0" fontId="10" fillId="0" borderId="4" xfId="1" applyFont="1" applyFill="1" applyBorder="1" applyAlignment="1">
      <alignment vertical="top"/>
    </xf>
    <xf numFmtId="0" fontId="10" fillId="0" borderId="3" xfId="1" applyFont="1" applyFill="1" applyBorder="1" applyAlignment="1">
      <alignment vertical="top"/>
    </xf>
    <xf numFmtId="4" fontId="13" fillId="11" borderId="0" xfId="1" applyNumberFormat="1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left" vertical="top"/>
    </xf>
    <xf numFmtId="49" fontId="8" fillId="0" borderId="0" xfId="1" applyNumberFormat="1" applyFont="1" applyFill="1" applyAlignment="1">
      <alignment vertical="center"/>
    </xf>
    <xf numFmtId="3" fontId="19" fillId="21" borderId="0" xfId="1" applyNumberFormat="1" applyFont="1" applyFill="1" applyBorder="1" applyAlignment="1">
      <alignment vertical="top"/>
    </xf>
    <xf numFmtId="0" fontId="8" fillId="0" borderId="4" xfId="1" applyNumberFormat="1" applyFont="1" applyFill="1" applyBorder="1" applyAlignment="1">
      <alignment vertical="top"/>
    </xf>
    <xf numFmtId="170" fontId="8" fillId="13" borderId="0" xfId="1" applyNumberFormat="1" applyFont="1" applyFill="1" applyAlignment="1">
      <alignment vertical="center"/>
    </xf>
    <xf numFmtId="164" fontId="8" fillId="13" borderId="0" xfId="1" applyNumberFormat="1" applyFont="1" applyFill="1" applyAlignment="1">
      <alignment vertical="center"/>
    </xf>
    <xf numFmtId="49" fontId="1" fillId="5" borderId="14" xfId="1" applyNumberFormat="1" applyFont="1" applyFill="1" applyBorder="1" applyAlignment="1">
      <alignment horizontal="center" vertical="center" wrapText="1"/>
    </xf>
    <xf numFmtId="49" fontId="12" fillId="5" borderId="0" xfId="1" applyNumberFormat="1" applyFont="1" applyFill="1" applyBorder="1" applyAlignment="1">
      <alignment horizontal="center" vertical="top"/>
    </xf>
    <xf numFmtId="49" fontId="10" fillId="5" borderId="17" xfId="1" applyNumberFormat="1" applyFont="1" applyFill="1" applyBorder="1" applyAlignment="1">
      <alignment vertical="top"/>
    </xf>
    <xf numFmtId="49" fontId="10" fillId="5" borderId="0" xfId="1" applyNumberFormat="1" applyFont="1" applyFill="1" applyBorder="1" applyAlignment="1">
      <alignment vertical="top"/>
    </xf>
    <xf numFmtId="49" fontId="10" fillId="5" borderId="14" xfId="1" applyNumberFormat="1" applyFont="1" applyFill="1" applyBorder="1" applyAlignment="1">
      <alignment vertical="top"/>
    </xf>
    <xf numFmtId="3" fontId="1" fillId="5" borderId="17" xfId="1" applyNumberFormat="1" applyFont="1" applyFill="1" applyBorder="1" applyAlignment="1">
      <alignment horizontal="center" vertical="top"/>
    </xf>
    <xf numFmtId="3" fontId="1" fillId="5" borderId="0" xfId="1" applyNumberFormat="1" applyFont="1" applyFill="1" applyBorder="1" applyAlignment="1">
      <alignment horizontal="center" vertical="top"/>
    </xf>
    <xf numFmtId="3" fontId="1" fillId="5" borderId="14" xfId="1" applyNumberFormat="1" applyFont="1" applyFill="1" applyBorder="1" applyAlignment="1">
      <alignment horizontal="center" vertical="top"/>
    </xf>
    <xf numFmtId="1" fontId="12" fillId="5" borderId="17" xfId="1" applyNumberFormat="1" applyFont="1" applyFill="1" applyBorder="1" applyAlignment="1">
      <alignment horizontal="center" vertical="top"/>
    </xf>
    <xf numFmtId="1" fontId="12" fillId="5" borderId="0" xfId="1" applyNumberFormat="1" applyFont="1" applyFill="1" applyBorder="1" applyAlignment="1">
      <alignment horizontal="center" vertical="top"/>
    </xf>
    <xf numFmtId="1" fontId="12" fillId="5" borderId="7" xfId="1" applyNumberFormat="1" applyFont="1" applyFill="1" applyBorder="1" applyAlignment="1">
      <alignment horizontal="center" vertical="top"/>
    </xf>
    <xf numFmtId="49" fontId="1" fillId="5" borderId="37" xfId="1" applyNumberFormat="1" applyFont="1" applyFill="1" applyBorder="1" applyAlignment="1">
      <alignment horizontal="center" vertical="center" wrapText="1"/>
    </xf>
    <xf numFmtId="49" fontId="1" fillId="5" borderId="0" xfId="1" applyNumberFormat="1" applyFont="1" applyFill="1" applyBorder="1" applyAlignment="1">
      <alignment horizontal="center" vertical="center" wrapText="1"/>
    </xf>
    <xf numFmtId="49" fontId="1" fillId="5" borderId="39" xfId="1" applyNumberFormat="1" applyFont="1" applyFill="1" applyBorder="1" applyAlignment="1">
      <alignment horizontal="center" vertical="center" wrapText="1"/>
    </xf>
    <xf numFmtId="49" fontId="1" fillId="5" borderId="40" xfId="1" applyNumberFormat="1" applyFont="1" applyFill="1" applyBorder="1" applyAlignment="1">
      <alignment horizontal="center" vertical="center" wrapText="1"/>
    </xf>
    <xf numFmtId="49" fontId="1" fillId="5" borderId="41" xfId="1" applyNumberFormat="1" applyFont="1" applyFill="1" applyBorder="1" applyAlignment="1">
      <alignment horizontal="center" vertical="center" wrapText="1"/>
    </xf>
    <xf numFmtId="49" fontId="12" fillId="5" borderId="40" xfId="1" applyNumberFormat="1" applyFont="1" applyFill="1" applyBorder="1" applyAlignment="1">
      <alignment horizontal="center" vertical="top"/>
    </xf>
    <xf numFmtId="49" fontId="10" fillId="5" borderId="42" xfId="1" applyNumberFormat="1" applyFont="1" applyFill="1" applyBorder="1" applyAlignment="1">
      <alignment vertical="top"/>
    </xf>
    <xf numFmtId="49" fontId="10" fillId="5" borderId="40" xfId="1" applyNumberFormat="1" applyFont="1" applyFill="1" applyBorder="1" applyAlignment="1">
      <alignment vertical="top"/>
    </xf>
    <xf numFmtId="49" fontId="10" fillId="5" borderId="41" xfId="1" applyNumberFormat="1" applyFont="1" applyFill="1" applyBorder="1" applyAlignment="1">
      <alignment vertical="top"/>
    </xf>
    <xf numFmtId="3" fontId="1" fillId="5" borderId="42" xfId="1" applyNumberFormat="1" applyFont="1" applyFill="1" applyBorder="1" applyAlignment="1">
      <alignment horizontal="center" vertical="top"/>
    </xf>
    <xf numFmtId="3" fontId="1" fillId="5" borderId="40" xfId="1" applyNumberFormat="1" applyFont="1" applyFill="1" applyBorder="1" applyAlignment="1">
      <alignment horizontal="center" vertical="top"/>
    </xf>
    <xf numFmtId="3" fontId="1" fillId="5" borderId="41" xfId="1" applyNumberFormat="1" applyFont="1" applyFill="1" applyBorder="1" applyAlignment="1">
      <alignment horizontal="center" vertical="top"/>
    </xf>
    <xf numFmtId="1" fontId="12" fillId="5" borderId="42" xfId="1" applyNumberFormat="1" applyFont="1" applyFill="1" applyBorder="1" applyAlignment="1">
      <alignment horizontal="center" vertical="top"/>
    </xf>
    <xf numFmtId="1" fontId="12" fillId="5" borderId="40" xfId="1" applyNumberFormat="1" applyFont="1" applyFill="1" applyBorder="1" applyAlignment="1">
      <alignment horizontal="center" vertical="top"/>
    </xf>
    <xf numFmtId="1" fontId="12" fillId="5" borderId="45" xfId="1" applyNumberFormat="1" applyFont="1" applyFill="1" applyBorder="1" applyAlignment="1">
      <alignment horizontal="center" vertical="top"/>
    </xf>
    <xf numFmtId="49" fontId="8" fillId="5" borderId="40" xfId="1" applyNumberFormat="1" applyFont="1" applyFill="1" applyBorder="1" applyAlignment="1">
      <alignment vertical="center"/>
    </xf>
    <xf numFmtId="4" fontId="8" fillId="5" borderId="40" xfId="1" applyNumberFormat="1" applyFont="1" applyFill="1" applyBorder="1" applyAlignment="1">
      <alignment vertical="center"/>
    </xf>
    <xf numFmtId="4" fontId="13" fillId="11" borderId="40" xfId="1" applyNumberFormat="1" applyFont="1" applyFill="1" applyBorder="1" applyAlignment="1">
      <alignment horizontal="center" vertical="center"/>
    </xf>
    <xf numFmtId="0" fontId="8" fillId="13" borderId="46" xfId="1" applyNumberFormat="1" applyFont="1" applyFill="1" applyBorder="1" applyAlignment="1">
      <alignment vertical="center"/>
    </xf>
    <xf numFmtId="3" fontId="13" fillId="13" borderId="46" xfId="1" applyNumberFormat="1" applyFont="1" applyFill="1" applyBorder="1" applyAlignment="1">
      <alignment vertical="top"/>
    </xf>
    <xf numFmtId="0" fontId="8" fillId="13" borderId="46" xfId="1" applyNumberFormat="1" applyFont="1" applyFill="1" applyBorder="1" applyAlignment="1">
      <alignment vertical="top"/>
    </xf>
    <xf numFmtId="1" fontId="13" fillId="13" borderId="40" xfId="1" applyNumberFormat="1" applyFont="1" applyFill="1" applyBorder="1" applyAlignment="1">
      <alignment vertical="top"/>
    </xf>
    <xf numFmtId="170" fontId="8" fillId="13" borderId="40" xfId="1" applyNumberFormat="1" applyFont="1" applyFill="1" applyBorder="1" applyAlignment="1">
      <alignment vertical="center"/>
    </xf>
    <xf numFmtId="164" fontId="8" fillId="13" borderId="40" xfId="1" applyNumberFormat="1" applyFont="1" applyFill="1" applyBorder="1" applyAlignment="1">
      <alignment vertical="center"/>
    </xf>
    <xf numFmtId="4" fontId="13" fillId="5" borderId="0" xfId="1" applyNumberFormat="1" applyFont="1" applyFill="1" applyBorder="1" applyAlignment="1">
      <alignment vertical="center"/>
    </xf>
    <xf numFmtId="4" fontId="13" fillId="0" borderId="0" xfId="1" applyNumberFormat="1" applyFont="1" applyFill="1" applyBorder="1" applyAlignment="1">
      <alignment vertical="center"/>
    </xf>
    <xf numFmtId="1" fontId="13" fillId="0" borderId="0" xfId="1" applyNumberFormat="1" applyFont="1" applyFill="1" applyAlignment="1">
      <alignment vertical="top"/>
    </xf>
    <xf numFmtId="4" fontId="13" fillId="11" borderId="24" xfId="1" applyNumberFormat="1" applyFont="1" applyFill="1" applyBorder="1" applyAlignment="1">
      <alignment horizontal="center" vertical="center"/>
    </xf>
    <xf numFmtId="0" fontId="8" fillId="13" borderId="9" xfId="1" applyNumberFormat="1" applyFont="1" applyFill="1" applyBorder="1" applyAlignment="1">
      <alignment vertical="top"/>
    </xf>
    <xf numFmtId="1" fontId="13" fillId="0" borderId="40" xfId="1" applyNumberFormat="1" applyFont="1" applyFill="1" applyBorder="1" applyAlignment="1">
      <alignment vertical="top"/>
    </xf>
    <xf numFmtId="0" fontId="8" fillId="0" borderId="40" xfId="1" applyNumberFormat="1" applyFont="1" applyFill="1" applyBorder="1" applyAlignment="1">
      <alignment vertical="center"/>
    </xf>
    <xf numFmtId="3" fontId="13" fillId="0" borderId="40" xfId="1" applyNumberFormat="1" applyFont="1" applyFill="1" applyBorder="1" applyAlignment="1">
      <alignment vertical="top"/>
    </xf>
    <xf numFmtId="0" fontId="8" fillId="0" borderId="40" xfId="1" applyNumberFormat="1" applyFont="1" applyFill="1" applyBorder="1" applyAlignment="1">
      <alignment vertical="top"/>
    </xf>
    <xf numFmtId="0" fontId="8" fillId="13" borderId="6" xfId="1" applyNumberFormat="1" applyFont="1" applyFill="1" applyBorder="1" applyAlignment="1">
      <alignment vertical="center"/>
    </xf>
    <xf numFmtId="3" fontId="13" fillId="13" borderId="6" xfId="1" applyNumberFormat="1" applyFont="1" applyFill="1" applyBorder="1" applyAlignment="1">
      <alignment vertical="top"/>
    </xf>
    <xf numFmtId="0" fontId="8" fillId="13" borderId="6" xfId="1" applyNumberFormat="1" applyFont="1" applyFill="1" applyBorder="1" applyAlignment="1">
      <alignment vertical="top"/>
    </xf>
    <xf numFmtId="49" fontId="8" fillId="4" borderId="24" xfId="1" applyNumberFormat="1" applyFont="1" applyFill="1" applyBorder="1" applyAlignment="1">
      <alignment vertical="center"/>
    </xf>
    <xf numFmtId="4" fontId="8" fillId="4" borderId="24" xfId="1" applyNumberFormat="1" applyFont="1" applyFill="1" applyBorder="1" applyAlignment="1">
      <alignment vertical="center"/>
    </xf>
    <xf numFmtId="0" fontId="8" fillId="13" borderId="19" xfId="1" applyNumberFormat="1" applyFont="1" applyFill="1" applyBorder="1" applyAlignment="1">
      <alignment vertical="center"/>
    </xf>
    <xf numFmtId="3" fontId="13" fillId="13" borderId="19" xfId="1" applyNumberFormat="1" applyFont="1" applyFill="1" applyBorder="1" applyAlignment="1">
      <alignment vertical="top"/>
    </xf>
    <xf numFmtId="0" fontId="8" fillId="13" borderId="19" xfId="1" applyNumberFormat="1" applyFont="1" applyFill="1" applyBorder="1" applyAlignment="1">
      <alignment vertical="top"/>
    </xf>
    <xf numFmtId="1" fontId="8" fillId="13" borderId="24" xfId="1" applyNumberFormat="1" applyFont="1" applyFill="1" applyBorder="1" applyAlignment="1">
      <alignment vertical="top"/>
    </xf>
    <xf numFmtId="170" fontId="8" fillId="13" borderId="24" xfId="1" applyNumberFormat="1" applyFont="1" applyFill="1" applyBorder="1" applyAlignment="1">
      <alignment vertical="center"/>
    </xf>
    <xf numFmtId="164" fontId="8" fillId="13" borderId="24" xfId="1" applyNumberFormat="1" applyFont="1" applyFill="1" applyBorder="1" applyAlignment="1">
      <alignment vertical="center"/>
    </xf>
    <xf numFmtId="49" fontId="8" fillId="5" borderId="24" xfId="1" applyNumberFormat="1" applyFont="1" applyFill="1" applyBorder="1" applyAlignment="1">
      <alignment vertical="center"/>
    </xf>
    <xf numFmtId="4" fontId="13" fillId="0" borderId="24" xfId="1" applyNumberFormat="1" applyFont="1" applyFill="1" applyBorder="1" applyAlignment="1">
      <alignment vertical="center"/>
    </xf>
    <xf numFmtId="1" fontId="13" fillId="0" borderId="24" xfId="1" applyNumberFormat="1" applyFont="1" applyFill="1" applyBorder="1" applyAlignment="1">
      <alignment vertical="top"/>
    </xf>
    <xf numFmtId="49" fontId="1" fillId="0" borderId="35" xfId="1" applyNumberFormat="1" applyFont="1" applyFill="1" applyBorder="1" applyAlignment="1">
      <alignment horizontal="center" vertical="center" wrapText="1"/>
    </xf>
    <xf numFmtId="49" fontId="1" fillId="0" borderId="24" xfId="1" applyNumberFormat="1" applyFont="1" applyFill="1" applyBorder="1" applyAlignment="1">
      <alignment horizontal="center" vertical="center" wrapText="1"/>
    </xf>
    <xf numFmtId="49" fontId="1" fillId="0" borderId="21" xfId="1" applyNumberFormat="1" applyFont="1" applyFill="1" applyBorder="1" applyAlignment="1">
      <alignment horizontal="center" vertical="center" wrapText="1"/>
    </xf>
    <xf numFmtId="49" fontId="12" fillId="0" borderId="24" xfId="1" applyNumberFormat="1" applyFont="1" applyFill="1" applyBorder="1" applyAlignment="1">
      <alignment horizontal="center" vertical="top"/>
    </xf>
    <xf numFmtId="49" fontId="10" fillId="0" borderId="20" xfId="1" applyNumberFormat="1" applyFont="1" applyFill="1" applyBorder="1" applyAlignment="1">
      <alignment vertical="top"/>
    </xf>
    <xf numFmtId="49" fontId="10" fillId="0" borderId="24" xfId="1" applyNumberFormat="1" applyFont="1" applyFill="1" applyBorder="1" applyAlignment="1">
      <alignment vertical="top"/>
    </xf>
    <xf numFmtId="49" fontId="10" fillId="0" borderId="21" xfId="1" applyNumberFormat="1" applyFont="1" applyFill="1" applyBorder="1" applyAlignment="1">
      <alignment vertical="top"/>
    </xf>
    <xf numFmtId="3" fontId="1" fillId="0" borderId="20" xfId="1" applyNumberFormat="1" applyFont="1" applyFill="1" applyBorder="1" applyAlignment="1">
      <alignment horizontal="center" vertical="top"/>
    </xf>
    <xf numFmtId="3" fontId="1" fillId="0" borderId="24" xfId="1" applyNumberFormat="1" applyFont="1" applyFill="1" applyBorder="1" applyAlignment="1">
      <alignment horizontal="center" vertical="top"/>
    </xf>
    <xf numFmtId="3" fontId="1" fillId="0" borderId="21" xfId="1" applyNumberFormat="1" applyFont="1" applyFill="1" applyBorder="1" applyAlignment="1">
      <alignment horizontal="center" vertical="top"/>
    </xf>
    <xf numFmtId="1" fontId="12" fillId="0" borderId="20" xfId="1" applyNumberFormat="1" applyFont="1" applyFill="1" applyBorder="1" applyAlignment="1">
      <alignment horizontal="center" vertical="top"/>
    </xf>
    <xf numFmtId="1" fontId="12" fillId="0" borderId="24" xfId="1" applyNumberFormat="1" applyFont="1" applyFill="1" applyBorder="1" applyAlignment="1">
      <alignment horizontal="center" vertical="top"/>
    </xf>
    <xf numFmtId="1" fontId="12" fillId="0" borderId="43" xfId="1" applyNumberFormat="1" applyFont="1" applyFill="1" applyBorder="1" applyAlignment="1">
      <alignment horizontal="center" vertical="top"/>
    </xf>
    <xf numFmtId="168" fontId="8" fillId="0" borderId="24" xfId="1" applyNumberFormat="1" applyFont="1" applyFill="1" applyBorder="1" applyAlignment="1">
      <alignment vertical="center"/>
    </xf>
    <xf numFmtId="49" fontId="8" fillId="0" borderId="24" xfId="1" applyNumberFormat="1" applyFont="1" applyFill="1" applyBorder="1" applyAlignment="1">
      <alignment vertical="center"/>
    </xf>
    <xf numFmtId="4" fontId="13" fillId="0" borderId="24" xfId="1" applyNumberFormat="1" applyFont="1" applyFill="1" applyBorder="1" applyAlignment="1">
      <alignment horizontal="center" vertical="center"/>
    </xf>
    <xf numFmtId="49" fontId="1" fillId="0" borderId="39" xfId="1" applyNumberFormat="1" applyFont="1" applyFill="1" applyBorder="1" applyAlignment="1">
      <alignment horizontal="center" vertical="center" wrapText="1"/>
    </xf>
    <xf numFmtId="49" fontId="1" fillId="0" borderId="40" xfId="1" applyNumberFormat="1" applyFont="1" applyFill="1" applyBorder="1" applyAlignment="1">
      <alignment horizontal="center" vertical="center" wrapText="1"/>
    </xf>
    <xf numFmtId="49" fontId="1" fillId="0" borderId="41" xfId="1" applyNumberFormat="1" applyFont="1" applyFill="1" applyBorder="1" applyAlignment="1">
      <alignment horizontal="center" vertical="center" wrapText="1"/>
    </xf>
    <xf numFmtId="49" fontId="10" fillId="0" borderId="42" xfId="1" applyNumberFormat="1" applyFont="1" applyFill="1" applyBorder="1" applyAlignment="1">
      <alignment vertical="top"/>
    </xf>
    <xf numFmtId="49" fontId="10" fillId="0" borderId="40" xfId="1" applyNumberFormat="1" applyFont="1" applyFill="1" applyBorder="1" applyAlignment="1">
      <alignment vertical="top"/>
    </xf>
    <xf numFmtId="49" fontId="10" fillId="0" borderId="41" xfId="1" applyNumberFormat="1" applyFont="1" applyFill="1" applyBorder="1" applyAlignment="1">
      <alignment vertical="top"/>
    </xf>
    <xf numFmtId="3" fontId="1" fillId="0" borderId="42" xfId="1" applyNumberFormat="1" applyFont="1" applyFill="1" applyBorder="1" applyAlignment="1">
      <alignment horizontal="center" vertical="top"/>
    </xf>
    <xf numFmtId="3" fontId="1" fillId="0" borderId="40" xfId="1" applyNumberFormat="1" applyFont="1" applyFill="1" applyBorder="1" applyAlignment="1">
      <alignment horizontal="center" vertical="top"/>
    </xf>
    <xf numFmtId="3" fontId="1" fillId="0" borderId="41" xfId="1" applyNumberFormat="1" applyFont="1" applyFill="1" applyBorder="1" applyAlignment="1">
      <alignment horizontal="center" vertical="top"/>
    </xf>
    <xf numFmtId="1" fontId="12" fillId="0" borderId="42" xfId="1" applyNumberFormat="1" applyFont="1" applyFill="1" applyBorder="1" applyAlignment="1">
      <alignment horizontal="center" vertical="top"/>
    </xf>
    <xf numFmtId="1" fontId="12" fillId="0" borderId="40" xfId="1" applyNumberFormat="1" applyFont="1" applyFill="1" applyBorder="1" applyAlignment="1">
      <alignment horizontal="center" vertical="top"/>
    </xf>
    <xf numFmtId="1" fontId="12" fillId="0" borderId="45" xfId="1" applyNumberFormat="1" applyFont="1" applyFill="1" applyBorder="1" applyAlignment="1">
      <alignment horizontal="center" vertical="top"/>
    </xf>
    <xf numFmtId="49" fontId="8" fillId="0" borderId="40" xfId="1" applyNumberFormat="1" applyFont="1" applyFill="1" applyBorder="1" applyAlignment="1">
      <alignment vertical="center"/>
    </xf>
    <xf numFmtId="4" fontId="8" fillId="0" borderId="40" xfId="1" applyNumberFormat="1" applyFont="1" applyFill="1" applyBorder="1" applyAlignment="1">
      <alignment vertical="center"/>
    </xf>
    <xf numFmtId="4" fontId="13" fillId="0" borderId="40" xfId="1" applyNumberFormat="1" applyFont="1" applyFill="1" applyBorder="1" applyAlignment="1">
      <alignment horizontal="center" vertical="center"/>
    </xf>
    <xf numFmtId="0" fontId="13" fillId="13" borderId="0" xfId="1" applyNumberFormat="1" applyFont="1" applyFill="1" applyBorder="1" applyAlignment="1">
      <alignment vertical="top"/>
    </xf>
    <xf numFmtId="4" fontId="13" fillId="0" borderId="0" xfId="1" applyNumberFormat="1" applyFont="1" applyAlignment="1">
      <alignment horizontal="right" vertical="center"/>
    </xf>
    <xf numFmtId="49" fontId="8" fillId="13" borderId="0" xfId="1" applyNumberFormat="1" applyFont="1" applyFill="1" applyAlignment="1">
      <alignment horizontal="center" vertical="center"/>
    </xf>
    <xf numFmtId="4" fontId="13" fillId="5" borderId="0" xfId="1" applyNumberFormat="1" applyFont="1" applyFill="1" applyAlignment="1">
      <alignment horizontal="right" vertical="center"/>
    </xf>
    <xf numFmtId="0" fontId="13" fillId="13" borderId="24" xfId="1" applyNumberFormat="1" applyFont="1" applyFill="1" applyBorder="1" applyAlignment="1">
      <alignment vertical="top"/>
    </xf>
    <xf numFmtId="3" fontId="13" fillId="13" borderId="24" xfId="1" applyNumberFormat="1" applyFont="1" applyFill="1" applyBorder="1" applyAlignment="1">
      <alignment vertical="top"/>
    </xf>
    <xf numFmtId="4" fontId="13" fillId="5" borderId="40" xfId="1" applyNumberFormat="1" applyFont="1" applyFill="1" applyBorder="1" applyAlignment="1">
      <alignment horizontal="right" vertical="center"/>
    </xf>
    <xf numFmtId="3" fontId="19" fillId="13" borderId="9" xfId="1" applyNumberFormat="1" applyFont="1" applyFill="1" applyBorder="1" applyAlignment="1">
      <alignment vertical="top"/>
    </xf>
    <xf numFmtId="3" fontId="19" fillId="13" borderId="4" xfId="1" applyNumberFormat="1" applyFont="1" applyFill="1" applyBorder="1" applyAlignment="1">
      <alignment vertical="top"/>
    </xf>
    <xf numFmtId="3" fontId="19" fillId="0" borderId="4" xfId="1" applyNumberFormat="1" applyFont="1" applyFill="1" applyBorder="1" applyAlignment="1">
      <alignment vertical="top"/>
    </xf>
    <xf numFmtId="3" fontId="19" fillId="21" borderId="0" xfId="1" applyNumberFormat="1" applyFont="1" applyFill="1" applyBorder="1" applyAlignment="1">
      <alignment vertical="center"/>
    </xf>
    <xf numFmtId="4" fontId="8" fillId="5" borderId="24" xfId="1" applyNumberFormat="1" applyFont="1" applyFill="1" applyBorder="1" applyAlignment="1">
      <alignment vertical="center"/>
    </xf>
    <xf numFmtId="49" fontId="8" fillId="3" borderId="0" xfId="1" applyNumberFormat="1" applyFont="1" applyFill="1" applyAlignment="1">
      <alignment vertical="center"/>
    </xf>
    <xf numFmtId="4" fontId="8" fillId="5" borderId="0" xfId="1" applyNumberFormat="1" applyFont="1" applyFill="1" applyAlignment="1">
      <alignment vertical="center"/>
    </xf>
    <xf numFmtId="49" fontId="8" fillId="5" borderId="0" xfId="1" applyNumberFormat="1" applyFont="1" applyFill="1" applyAlignment="1">
      <alignment vertical="center"/>
    </xf>
    <xf numFmtId="49" fontId="8" fillId="4" borderId="0" xfId="1" applyNumberFormat="1" applyFont="1" applyFill="1" applyAlignment="1">
      <alignment vertical="center"/>
    </xf>
    <xf numFmtId="4" fontId="8" fillId="4" borderId="0" xfId="1" applyNumberFormat="1" applyFont="1" applyFill="1" applyAlignment="1">
      <alignment vertical="center"/>
    </xf>
    <xf numFmtId="4" fontId="19" fillId="3" borderId="0" xfId="1" applyNumberFormat="1" applyFont="1" applyFill="1" applyAlignment="1">
      <alignment vertical="center"/>
    </xf>
    <xf numFmtId="4" fontId="13" fillId="4" borderId="24" xfId="1" applyNumberFormat="1" applyFont="1" applyFill="1" applyBorder="1" applyAlignment="1">
      <alignment horizontal="center" vertical="center"/>
    </xf>
    <xf numFmtId="2" fontId="8" fillId="4" borderId="0" xfId="1" applyNumberFormat="1" applyFont="1" applyFill="1" applyAlignment="1">
      <alignment vertical="center"/>
    </xf>
    <xf numFmtId="49" fontId="12" fillId="0" borderId="20" xfId="1" applyNumberFormat="1" applyFont="1" applyFill="1" applyBorder="1" applyAlignment="1">
      <alignment vertical="top"/>
    </xf>
    <xf numFmtId="49" fontId="12" fillId="0" borderId="24" xfId="1" applyNumberFormat="1" applyFont="1" applyFill="1" applyBorder="1" applyAlignment="1">
      <alignment vertical="top"/>
    </xf>
    <xf numFmtId="49" fontId="12" fillId="0" borderId="21" xfId="1" applyNumberFormat="1" applyFont="1" applyFill="1" applyBorder="1" applyAlignment="1">
      <alignment vertical="top"/>
    </xf>
    <xf numFmtId="0" fontId="8" fillId="13" borderId="9" xfId="1" applyNumberFormat="1" applyFont="1" applyFill="1" applyBorder="1" applyAlignment="1">
      <alignment vertical="center"/>
    </xf>
    <xf numFmtId="3" fontId="19" fillId="0" borderId="40" xfId="1" applyNumberFormat="1" applyFont="1" applyFill="1" applyBorder="1" applyAlignment="1">
      <alignment vertical="center"/>
    </xf>
    <xf numFmtId="0" fontId="8" fillId="0" borderId="53" xfId="1" applyNumberFormat="1" applyFont="1" applyFill="1" applyBorder="1" applyAlignment="1">
      <alignment vertical="top"/>
    </xf>
    <xf numFmtId="3" fontId="19" fillId="0" borderId="53" xfId="1" applyNumberFormat="1" applyFont="1" applyFill="1" applyBorder="1" applyAlignment="1">
      <alignment vertical="top"/>
    </xf>
    <xf numFmtId="1" fontId="8" fillId="0" borderId="40" xfId="1" applyNumberFormat="1" applyFont="1" applyFill="1" applyBorder="1" applyAlignment="1">
      <alignment vertical="top"/>
    </xf>
    <xf numFmtId="170" fontId="8" fillId="0" borderId="40" xfId="1" applyNumberFormat="1" applyFont="1" applyFill="1" applyBorder="1" applyAlignment="1">
      <alignment vertical="center"/>
    </xf>
    <xf numFmtId="164" fontId="8" fillId="0" borderId="40" xfId="1" applyNumberFormat="1" applyFont="1" applyFill="1" applyBorder="1" applyAlignment="1">
      <alignment vertical="center"/>
    </xf>
    <xf numFmtId="2" fontId="8" fillId="0" borderId="40" xfId="1" applyNumberFormat="1" applyFont="1" applyFill="1" applyBorder="1" applyAlignment="1">
      <alignment vertical="center"/>
    </xf>
    <xf numFmtId="49" fontId="8" fillId="13" borderId="24" xfId="1" applyNumberFormat="1" applyFont="1" applyFill="1" applyBorder="1" applyAlignment="1">
      <alignment vertical="center"/>
    </xf>
    <xf numFmtId="4" fontId="8" fillId="0" borderId="24" xfId="1" applyNumberFormat="1" applyFont="1" applyFill="1" applyBorder="1" applyAlignment="1">
      <alignment vertical="center"/>
    </xf>
    <xf numFmtId="49" fontId="8" fillId="13" borderId="40" xfId="1" applyNumberFormat="1" applyFont="1" applyFill="1" applyBorder="1" applyAlignment="1">
      <alignment vertical="center"/>
    </xf>
    <xf numFmtId="3" fontId="1" fillId="0" borderId="1" xfId="1" applyNumberFormat="1" applyFont="1" applyFill="1" applyBorder="1" applyAlignment="1">
      <alignment horizontal="center" vertical="top"/>
    </xf>
    <xf numFmtId="3" fontId="1" fillId="0" borderId="2" xfId="1" applyNumberFormat="1" applyFont="1" applyFill="1" applyBorder="1" applyAlignment="1">
      <alignment horizontal="center" vertical="top"/>
    </xf>
    <xf numFmtId="49" fontId="10" fillId="0" borderId="1" xfId="1" applyNumberFormat="1" applyFont="1" applyFill="1" applyBorder="1" applyAlignment="1">
      <alignment horizontal="left" vertical="top"/>
    </xf>
    <xf numFmtId="49" fontId="10" fillId="0" borderId="0" xfId="1" applyNumberFormat="1" applyFont="1" applyAlignment="1">
      <alignment vertical="center"/>
    </xf>
    <xf numFmtId="1" fontId="8" fillId="0" borderId="0" xfId="1" applyNumberFormat="1" applyFont="1" applyAlignment="1">
      <alignment horizontal="center" vertical="center"/>
    </xf>
    <xf numFmtId="49" fontId="10" fillId="0" borderId="0" xfId="1" applyNumberFormat="1" applyFont="1" applyAlignment="1">
      <alignment horizontal="right" vertical="center"/>
    </xf>
    <xf numFmtId="49" fontId="1" fillId="5" borderId="37" xfId="1" applyNumberFormat="1" applyFont="1" applyFill="1" applyBorder="1" applyAlignment="1">
      <alignment horizontal="center" vertical="center" wrapText="1"/>
    </xf>
    <xf numFmtId="49" fontId="1" fillId="5" borderId="0" xfId="1" applyNumberFormat="1" applyFont="1" applyFill="1" applyBorder="1" applyAlignment="1">
      <alignment horizontal="center" vertical="center" wrapText="1"/>
    </xf>
    <xf numFmtId="49" fontId="1" fillId="5" borderId="14" xfId="1" applyNumberFormat="1" applyFont="1" applyFill="1" applyBorder="1" applyAlignment="1">
      <alignment horizontal="center" vertical="center" wrapText="1"/>
    </xf>
    <xf numFmtId="49" fontId="1" fillId="5" borderId="39" xfId="1" applyNumberFormat="1" applyFont="1" applyFill="1" applyBorder="1" applyAlignment="1">
      <alignment horizontal="center" vertical="center" wrapText="1"/>
    </xf>
    <xf numFmtId="49" fontId="1" fillId="5" borderId="40" xfId="1" applyNumberFormat="1" applyFont="1" applyFill="1" applyBorder="1" applyAlignment="1">
      <alignment horizontal="center" vertical="center" wrapText="1"/>
    </xf>
    <xf numFmtId="49" fontId="12" fillId="5" borderId="0" xfId="1" applyNumberFormat="1" applyFont="1" applyFill="1" applyBorder="1" applyAlignment="1">
      <alignment horizontal="center" vertical="top"/>
    </xf>
    <xf numFmtId="49" fontId="12" fillId="5" borderId="40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Alignment="1">
      <alignment vertical="center"/>
    </xf>
    <xf numFmtId="49" fontId="10" fillId="0" borderId="0" xfId="1" applyNumberFormat="1" applyFont="1" applyFill="1" applyAlignment="1">
      <alignment horizontal="left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vertical="center"/>
    </xf>
    <xf numFmtId="49" fontId="8" fillId="0" borderId="0" xfId="1" applyNumberFormat="1" applyFont="1" applyAlignment="1">
      <alignment vertical="center"/>
    </xf>
    <xf numFmtId="49" fontId="10" fillId="0" borderId="0" xfId="1" applyNumberFormat="1" applyFont="1" applyFill="1" applyAlignment="1">
      <alignment vertical="center"/>
    </xf>
    <xf numFmtId="0" fontId="22" fillId="0" borderId="3" xfId="1" applyFont="1" applyFill="1" applyBorder="1" applyAlignment="1">
      <alignment vertical="top"/>
    </xf>
    <xf numFmtId="3" fontId="24" fillId="0" borderId="0" xfId="1" applyNumberFormat="1" applyFont="1" applyFill="1" applyBorder="1" applyAlignment="1">
      <alignment vertical="top"/>
    </xf>
    <xf numFmtId="17" fontId="2" fillId="11" borderId="1" xfId="1" applyNumberFormat="1" applyFont="1" applyFill="1" applyBorder="1" applyAlignment="1">
      <alignment horizontal="center"/>
    </xf>
    <xf numFmtId="17" fontId="2" fillId="11" borderId="2" xfId="1" applyNumberFormat="1" applyFont="1" applyFill="1" applyBorder="1" applyAlignment="1">
      <alignment horizontal="center"/>
    </xf>
    <xf numFmtId="17" fontId="2" fillId="11" borderId="3" xfId="1" applyNumberFormat="1" applyFont="1" applyFill="1" applyBorder="1" applyAlignment="1">
      <alignment horizontal="center"/>
    </xf>
    <xf numFmtId="17" fontId="2" fillId="2" borderId="1" xfId="1" applyNumberFormat="1" applyFont="1" applyFill="1" applyBorder="1" applyAlignment="1">
      <alignment horizontal="center"/>
    </xf>
    <xf numFmtId="17" fontId="2" fillId="2" borderId="2" xfId="1" applyNumberFormat="1" applyFont="1" applyFill="1" applyBorder="1" applyAlignment="1">
      <alignment horizontal="center"/>
    </xf>
    <xf numFmtId="17" fontId="2" fillId="2" borderId="3" xfId="1" applyNumberFormat="1" applyFont="1" applyFill="1" applyBorder="1" applyAlignment="1">
      <alignment horizontal="center"/>
    </xf>
    <xf numFmtId="17" fontId="2" fillId="3" borderId="1" xfId="1" applyNumberFormat="1" applyFont="1" applyFill="1" applyBorder="1" applyAlignment="1">
      <alignment horizontal="center"/>
    </xf>
    <xf numFmtId="17" fontId="2" fillId="3" borderId="2" xfId="1" applyNumberFormat="1" applyFont="1" applyFill="1" applyBorder="1" applyAlignment="1">
      <alignment horizontal="center"/>
    </xf>
    <xf numFmtId="17" fontId="2" fillId="3" borderId="3" xfId="1" applyNumberFormat="1" applyFont="1" applyFill="1" applyBorder="1" applyAlignment="1">
      <alignment horizontal="center"/>
    </xf>
    <xf numFmtId="17" fontId="2" fillId="4" borderId="1" xfId="1" applyNumberFormat="1" applyFont="1" applyFill="1" applyBorder="1" applyAlignment="1">
      <alignment horizontal="center"/>
    </xf>
    <xf numFmtId="17" fontId="2" fillId="4" borderId="2" xfId="1" applyNumberFormat="1" applyFont="1" applyFill="1" applyBorder="1" applyAlignment="1">
      <alignment horizontal="center"/>
    </xf>
    <xf numFmtId="17" fontId="2" fillId="4" borderId="3" xfId="1" applyNumberFormat="1" applyFont="1" applyFill="1" applyBorder="1" applyAlignment="1">
      <alignment horizontal="center"/>
    </xf>
    <xf numFmtId="17" fontId="2" fillId="5" borderId="1" xfId="1" applyNumberFormat="1" applyFont="1" applyFill="1" applyBorder="1" applyAlignment="1">
      <alignment horizontal="center"/>
    </xf>
    <xf numFmtId="17" fontId="2" fillId="5" borderId="2" xfId="1" applyNumberFormat="1" applyFont="1" applyFill="1" applyBorder="1" applyAlignment="1">
      <alignment horizontal="center"/>
    </xf>
    <xf numFmtId="17" fontId="2" fillId="5" borderId="3" xfId="1" applyNumberFormat="1" applyFont="1" applyFill="1" applyBorder="1" applyAlignment="1">
      <alignment horizontal="center"/>
    </xf>
    <xf numFmtId="17" fontId="2" fillId="6" borderId="1" xfId="1" applyNumberFormat="1" applyFont="1" applyFill="1" applyBorder="1" applyAlignment="1">
      <alignment horizontal="center"/>
    </xf>
    <xf numFmtId="17" fontId="2" fillId="6" borderId="2" xfId="1" applyNumberFormat="1" applyFont="1" applyFill="1" applyBorder="1" applyAlignment="1">
      <alignment horizontal="center"/>
    </xf>
    <xf numFmtId="17" fontId="2" fillId="6" borderId="3" xfId="1" applyNumberFormat="1" applyFont="1" applyFill="1" applyBorder="1" applyAlignment="1">
      <alignment horizontal="center"/>
    </xf>
    <xf numFmtId="17" fontId="2" fillId="7" borderId="1" xfId="1" applyNumberFormat="1" applyFont="1" applyFill="1" applyBorder="1" applyAlignment="1">
      <alignment horizontal="center"/>
    </xf>
    <xf numFmtId="17" fontId="2" fillId="7" borderId="2" xfId="1" applyNumberFormat="1" applyFont="1" applyFill="1" applyBorder="1" applyAlignment="1">
      <alignment horizontal="center"/>
    </xf>
    <xf numFmtId="17" fontId="2" fillId="7" borderId="3" xfId="1" applyNumberFormat="1" applyFont="1" applyFill="1" applyBorder="1" applyAlignment="1">
      <alignment horizontal="center"/>
    </xf>
    <xf numFmtId="17" fontId="2" fillId="8" borderId="1" xfId="1" applyNumberFormat="1" applyFont="1" applyFill="1" applyBorder="1" applyAlignment="1">
      <alignment horizontal="center"/>
    </xf>
    <xf numFmtId="17" fontId="2" fillId="8" borderId="2" xfId="1" applyNumberFormat="1" applyFont="1" applyFill="1" applyBorder="1" applyAlignment="1">
      <alignment horizontal="center"/>
    </xf>
    <xf numFmtId="17" fontId="2" fillId="8" borderId="3" xfId="1" applyNumberFormat="1" applyFont="1" applyFill="1" applyBorder="1" applyAlignment="1">
      <alignment horizontal="center"/>
    </xf>
    <xf numFmtId="17" fontId="2" fillId="9" borderId="1" xfId="1" applyNumberFormat="1" applyFont="1" applyFill="1" applyBorder="1" applyAlignment="1">
      <alignment horizontal="center"/>
    </xf>
    <xf numFmtId="17" fontId="2" fillId="9" borderId="2" xfId="1" applyNumberFormat="1" applyFont="1" applyFill="1" applyBorder="1" applyAlignment="1">
      <alignment horizontal="center"/>
    </xf>
    <xf numFmtId="17" fontId="2" fillId="9" borderId="3" xfId="1" applyNumberFormat="1" applyFont="1" applyFill="1" applyBorder="1" applyAlignment="1">
      <alignment horizontal="center"/>
    </xf>
    <xf numFmtId="17" fontId="2" fillId="10" borderId="1" xfId="1" applyNumberFormat="1" applyFont="1" applyFill="1" applyBorder="1" applyAlignment="1">
      <alignment horizontal="center"/>
    </xf>
    <xf numFmtId="17" fontId="2" fillId="10" borderId="2" xfId="1" applyNumberFormat="1" applyFont="1" applyFill="1" applyBorder="1" applyAlignment="1">
      <alignment horizontal="center"/>
    </xf>
    <xf numFmtId="17" fontId="2" fillId="10" borderId="3" xfId="1" applyNumberFormat="1" applyFont="1" applyFill="1" applyBorder="1" applyAlignment="1">
      <alignment horizontal="center"/>
    </xf>
    <xf numFmtId="49" fontId="1" fillId="17" borderId="35" xfId="1" applyNumberFormat="1" applyFont="1" applyFill="1" applyBorder="1" applyAlignment="1">
      <alignment horizontal="center" vertical="center" wrapText="1"/>
    </xf>
    <xf numFmtId="49" fontId="1" fillId="17" borderId="24" xfId="1" applyNumberFormat="1" applyFont="1" applyFill="1" applyBorder="1" applyAlignment="1">
      <alignment horizontal="center" vertical="center" wrapText="1"/>
    </xf>
    <xf numFmtId="49" fontId="1" fillId="17" borderId="21" xfId="1" applyNumberFormat="1" applyFont="1" applyFill="1" applyBorder="1" applyAlignment="1">
      <alignment horizontal="center" vertical="center" wrapText="1"/>
    </xf>
    <xf numFmtId="49" fontId="1" fillId="17" borderId="37" xfId="1" applyNumberFormat="1" applyFont="1" applyFill="1" applyBorder="1" applyAlignment="1">
      <alignment horizontal="center" vertical="center" wrapText="1"/>
    </xf>
    <xf numFmtId="49" fontId="1" fillId="17" borderId="0" xfId="1" applyNumberFormat="1" applyFont="1" applyFill="1" applyBorder="1" applyAlignment="1">
      <alignment horizontal="center" vertical="center" wrapText="1"/>
    </xf>
    <xf numFmtId="49" fontId="1" fillId="17" borderId="14" xfId="1" applyNumberFormat="1" applyFont="1" applyFill="1" applyBorder="1" applyAlignment="1">
      <alignment horizontal="center" vertical="center" wrapText="1"/>
    </xf>
    <xf numFmtId="49" fontId="1" fillId="17" borderId="39" xfId="1" applyNumberFormat="1" applyFont="1" applyFill="1" applyBorder="1" applyAlignment="1">
      <alignment horizontal="center" vertical="center" wrapText="1"/>
    </xf>
    <xf numFmtId="49" fontId="1" fillId="17" borderId="40" xfId="1" applyNumberFormat="1" applyFont="1" applyFill="1" applyBorder="1" applyAlignment="1">
      <alignment horizontal="center" vertical="center" wrapText="1"/>
    </xf>
    <xf numFmtId="49" fontId="1" fillId="17" borderId="41" xfId="1" applyNumberFormat="1" applyFont="1" applyFill="1" applyBorder="1" applyAlignment="1">
      <alignment horizontal="center" vertical="center" wrapText="1"/>
    </xf>
    <xf numFmtId="49" fontId="12" fillId="17" borderId="35" xfId="1" applyNumberFormat="1" applyFont="1" applyFill="1" applyBorder="1" applyAlignment="1">
      <alignment horizontal="center" vertical="center" wrapText="1"/>
    </xf>
    <xf numFmtId="49" fontId="12" fillId="17" borderId="24" xfId="1" applyNumberFormat="1" applyFont="1" applyFill="1" applyBorder="1" applyAlignment="1">
      <alignment horizontal="center" vertical="center" wrapText="1"/>
    </xf>
    <xf numFmtId="49" fontId="12" fillId="17" borderId="21" xfId="1" applyNumberFormat="1" applyFont="1" applyFill="1" applyBorder="1" applyAlignment="1">
      <alignment horizontal="center" vertical="center" wrapText="1"/>
    </xf>
    <xf numFmtId="49" fontId="12" fillId="17" borderId="37" xfId="1" applyNumberFormat="1" applyFont="1" applyFill="1" applyBorder="1" applyAlignment="1">
      <alignment horizontal="center" vertical="center" wrapText="1"/>
    </xf>
    <xf numFmtId="49" fontId="12" fillId="17" borderId="0" xfId="1" applyNumberFormat="1" applyFont="1" applyFill="1" applyBorder="1" applyAlignment="1">
      <alignment horizontal="center" vertical="center" wrapText="1"/>
    </xf>
    <xf numFmtId="49" fontId="12" fillId="17" borderId="14" xfId="1" applyNumberFormat="1" applyFont="1" applyFill="1" applyBorder="1" applyAlignment="1">
      <alignment horizontal="center" vertical="center" wrapText="1"/>
    </xf>
    <xf numFmtId="49" fontId="12" fillId="17" borderId="39" xfId="1" applyNumberFormat="1" applyFont="1" applyFill="1" applyBorder="1" applyAlignment="1">
      <alignment horizontal="center" vertical="center" wrapText="1"/>
    </xf>
    <xf numFmtId="49" fontId="12" fillId="17" borderId="40" xfId="1" applyNumberFormat="1" applyFont="1" applyFill="1" applyBorder="1" applyAlignment="1">
      <alignment horizontal="center" vertical="center" wrapText="1"/>
    </xf>
    <xf numFmtId="49" fontId="12" fillId="17" borderId="41" xfId="1" applyNumberFormat="1" applyFont="1" applyFill="1" applyBorder="1" applyAlignment="1">
      <alignment horizontal="center" vertical="center" wrapText="1"/>
    </xf>
    <xf numFmtId="49" fontId="12" fillId="17" borderId="20" xfId="1" applyNumberFormat="1" applyFont="1" applyFill="1" applyBorder="1" applyAlignment="1">
      <alignment horizontal="center" vertical="top"/>
    </xf>
    <xf numFmtId="49" fontId="12" fillId="17" borderId="24" xfId="1" applyNumberFormat="1" applyFont="1" applyFill="1" applyBorder="1" applyAlignment="1">
      <alignment horizontal="center" vertical="top"/>
    </xf>
    <xf numFmtId="49" fontId="12" fillId="17" borderId="21" xfId="1" applyNumberFormat="1" applyFont="1" applyFill="1" applyBorder="1" applyAlignment="1">
      <alignment horizontal="center" vertical="top"/>
    </xf>
    <xf numFmtId="49" fontId="12" fillId="17" borderId="17" xfId="1" applyNumberFormat="1" applyFont="1" applyFill="1" applyBorder="1" applyAlignment="1">
      <alignment horizontal="center" vertical="top"/>
    </xf>
    <xf numFmtId="49" fontId="12" fillId="17" borderId="0" xfId="1" applyNumberFormat="1" applyFont="1" applyFill="1" applyBorder="1" applyAlignment="1">
      <alignment horizontal="center" vertical="top"/>
    </xf>
    <xf numFmtId="49" fontId="12" fillId="17" borderId="14" xfId="1" applyNumberFormat="1" applyFont="1" applyFill="1" applyBorder="1" applyAlignment="1">
      <alignment horizontal="center" vertical="top"/>
    </xf>
    <xf numFmtId="49" fontId="12" fillId="17" borderId="42" xfId="1" applyNumberFormat="1" applyFont="1" applyFill="1" applyBorder="1" applyAlignment="1">
      <alignment horizontal="center" vertical="top"/>
    </xf>
    <xf numFmtId="49" fontId="12" fillId="17" borderId="40" xfId="1" applyNumberFormat="1" applyFont="1" applyFill="1" applyBorder="1" applyAlignment="1">
      <alignment horizontal="center" vertical="top"/>
    </xf>
    <xf numFmtId="49" fontId="12" fillId="17" borderId="41" xfId="1" applyNumberFormat="1" applyFont="1" applyFill="1" applyBorder="1" applyAlignment="1">
      <alignment horizontal="center" vertical="top"/>
    </xf>
    <xf numFmtId="49" fontId="1" fillId="0" borderId="35" xfId="1" applyNumberFormat="1" applyFill="1" applyBorder="1" applyAlignment="1">
      <alignment horizontal="center" vertical="top" wrapText="1"/>
    </xf>
    <xf numFmtId="49" fontId="1" fillId="0" borderId="24" xfId="1" applyNumberFormat="1" applyFill="1" applyBorder="1" applyAlignment="1">
      <alignment horizontal="center" vertical="top" wrapText="1"/>
    </xf>
    <xf numFmtId="49" fontId="1" fillId="0" borderId="21" xfId="1" applyNumberFormat="1" applyFill="1" applyBorder="1" applyAlignment="1">
      <alignment horizontal="center" vertical="top" wrapText="1"/>
    </xf>
    <xf numFmtId="49" fontId="1" fillId="0" borderId="37" xfId="1" applyNumberFormat="1" applyFill="1" applyBorder="1" applyAlignment="1">
      <alignment horizontal="center" vertical="top" wrapText="1"/>
    </xf>
    <xf numFmtId="49" fontId="1" fillId="0" borderId="0" xfId="1" applyNumberFormat="1" applyFill="1" applyBorder="1" applyAlignment="1">
      <alignment horizontal="center" vertical="top" wrapText="1"/>
    </xf>
    <xf numFmtId="49" fontId="1" fillId="0" borderId="14" xfId="1" applyNumberFormat="1" applyFill="1" applyBorder="1" applyAlignment="1">
      <alignment horizontal="center" vertical="top" wrapText="1"/>
    </xf>
    <xf numFmtId="49" fontId="1" fillId="0" borderId="39" xfId="1" applyNumberFormat="1" applyFill="1" applyBorder="1" applyAlignment="1">
      <alignment horizontal="center" vertical="top" wrapText="1"/>
    </xf>
    <xf numFmtId="49" fontId="1" fillId="0" borderId="40" xfId="1" applyNumberFormat="1" applyFill="1" applyBorder="1" applyAlignment="1">
      <alignment horizontal="center" vertical="top" wrapText="1"/>
    </xf>
    <xf numFmtId="49" fontId="1" fillId="0" borderId="41" xfId="1" applyNumberFormat="1" applyFill="1" applyBorder="1" applyAlignment="1">
      <alignment horizontal="center" vertical="top" wrapText="1"/>
    </xf>
    <xf numFmtId="49" fontId="10" fillId="0" borderId="20" xfId="1" applyNumberFormat="1" applyFont="1" applyFill="1" applyBorder="1" applyAlignment="1">
      <alignment horizontal="center" vertical="top"/>
    </xf>
    <xf numFmtId="49" fontId="10" fillId="0" borderId="24" xfId="1" applyNumberFormat="1" applyFont="1" applyFill="1" applyBorder="1" applyAlignment="1">
      <alignment horizontal="center" vertical="top"/>
    </xf>
    <xf numFmtId="49" fontId="10" fillId="0" borderId="21" xfId="1" applyNumberFormat="1" applyFont="1" applyFill="1" applyBorder="1" applyAlignment="1">
      <alignment horizontal="center" vertical="top"/>
    </xf>
    <xf numFmtId="49" fontId="10" fillId="0" borderId="1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14" xfId="1" applyNumberFormat="1" applyFont="1" applyFill="1" applyBorder="1" applyAlignment="1">
      <alignment horizontal="center" vertical="top"/>
    </xf>
    <xf numFmtId="49" fontId="10" fillId="0" borderId="42" xfId="1" applyNumberFormat="1" applyFont="1" applyFill="1" applyBorder="1" applyAlignment="1">
      <alignment horizontal="center" vertical="top"/>
    </xf>
    <xf numFmtId="49" fontId="10" fillId="0" borderId="40" xfId="1" applyNumberFormat="1" applyFont="1" applyFill="1" applyBorder="1" applyAlignment="1">
      <alignment horizontal="center" vertical="top"/>
    </xf>
    <xf numFmtId="49" fontId="10" fillId="0" borderId="41" xfId="1" applyNumberFormat="1" applyFont="1" applyFill="1" applyBorder="1" applyAlignment="1">
      <alignment horizontal="center" vertical="top"/>
    </xf>
    <xf numFmtId="49" fontId="12" fillId="0" borderId="55" xfId="1" applyNumberFormat="1" applyFont="1" applyFill="1" applyBorder="1" applyAlignment="1">
      <alignment horizontal="center" vertical="center" wrapText="1"/>
    </xf>
    <xf numFmtId="49" fontId="12" fillId="0" borderId="33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center" vertical="top"/>
    </xf>
    <xf numFmtId="1" fontId="12" fillId="0" borderId="2" xfId="1" applyNumberFormat="1" applyFont="1" applyFill="1" applyBorder="1" applyAlignment="1">
      <alignment horizontal="center" vertical="top"/>
    </xf>
    <xf numFmtId="1" fontId="12" fillId="0" borderId="5" xfId="1" applyNumberFormat="1" applyFont="1" applyFill="1" applyBorder="1" applyAlignment="1">
      <alignment horizontal="center" vertical="top"/>
    </xf>
    <xf numFmtId="1" fontId="12" fillId="15" borderId="1" xfId="1" applyNumberFormat="1" applyFont="1" applyFill="1" applyBorder="1" applyAlignment="1">
      <alignment horizontal="center" vertical="top"/>
    </xf>
    <xf numFmtId="1" fontId="12" fillId="15" borderId="2" xfId="1" applyNumberFormat="1" applyFont="1" applyFill="1" applyBorder="1" applyAlignment="1">
      <alignment horizontal="center" vertical="top"/>
    </xf>
    <xf numFmtId="1" fontId="12" fillId="15" borderId="5" xfId="1" applyNumberFormat="1" applyFont="1" applyFill="1" applyBorder="1" applyAlignment="1">
      <alignment horizontal="center" vertical="top"/>
    </xf>
    <xf numFmtId="3" fontId="1" fillId="0" borderId="1" xfId="1" applyNumberFormat="1" applyFont="1" applyFill="1" applyBorder="1" applyAlignment="1">
      <alignment horizontal="center" vertical="top"/>
    </xf>
    <xf numFmtId="3" fontId="1" fillId="0" borderId="2" xfId="1" applyNumberFormat="1" applyFont="1" applyFill="1" applyBorder="1" applyAlignment="1">
      <alignment horizontal="center" vertical="top"/>
    </xf>
    <xf numFmtId="3" fontId="1" fillId="0" borderId="3" xfId="1" applyNumberFormat="1" applyFont="1" applyFill="1" applyBorder="1" applyAlignment="1">
      <alignment horizontal="center" vertical="top"/>
    </xf>
    <xf numFmtId="1" fontId="12" fillId="3" borderId="1" xfId="1" applyNumberFormat="1" applyFont="1" applyFill="1" applyBorder="1" applyAlignment="1">
      <alignment horizontal="center" vertical="top"/>
    </xf>
    <xf numFmtId="1" fontId="12" fillId="3" borderId="2" xfId="1" applyNumberFormat="1" applyFont="1" applyFill="1" applyBorder="1" applyAlignment="1">
      <alignment horizontal="center" vertical="top"/>
    </xf>
    <xf numFmtId="1" fontId="12" fillId="3" borderId="5" xfId="1" applyNumberFormat="1" applyFont="1" applyFill="1" applyBorder="1" applyAlignment="1">
      <alignment horizontal="center" vertical="top"/>
    </xf>
    <xf numFmtId="49" fontId="10" fillId="18" borderId="1" xfId="1" applyNumberFormat="1" applyFont="1" applyFill="1" applyBorder="1" applyAlignment="1">
      <alignment horizontal="left" vertical="top"/>
    </xf>
    <xf numFmtId="49" fontId="10" fillId="18" borderId="2" xfId="1" applyNumberFormat="1" applyFont="1" applyFill="1" applyBorder="1" applyAlignment="1">
      <alignment horizontal="left" vertical="top"/>
    </xf>
    <xf numFmtId="1" fontId="10" fillId="0" borderId="1" xfId="1" applyNumberFormat="1" applyFont="1" applyFill="1" applyBorder="1" applyAlignment="1">
      <alignment horizontal="center" vertical="top"/>
    </xf>
    <xf numFmtId="1" fontId="10" fillId="0" borderId="2" xfId="1" applyNumberFormat="1" applyFont="1" applyFill="1" applyBorder="1" applyAlignment="1">
      <alignment horizontal="center" vertical="top"/>
    </xf>
    <xf numFmtId="1" fontId="10" fillId="0" borderId="3" xfId="1" applyNumberFormat="1" applyFont="1" applyFill="1" applyBorder="1" applyAlignment="1">
      <alignment horizontal="center" vertical="top"/>
    </xf>
    <xf numFmtId="49" fontId="10" fillId="0" borderId="1" xfId="1" applyNumberFormat="1" applyFont="1" applyFill="1" applyBorder="1" applyAlignment="1">
      <alignment vertical="top"/>
    </xf>
    <xf numFmtId="49" fontId="10" fillId="0" borderId="2" xfId="1" applyNumberFormat="1" applyFont="1" applyFill="1" applyBorder="1" applyAlignment="1">
      <alignment vertical="top"/>
    </xf>
    <xf numFmtId="49" fontId="10" fillId="0" borderId="3" xfId="1" applyNumberFormat="1" applyFont="1" applyFill="1" applyBorder="1" applyAlignment="1">
      <alignment vertical="top"/>
    </xf>
    <xf numFmtId="49" fontId="10" fillId="13" borderId="1" xfId="1" applyNumberFormat="1" applyFont="1" applyFill="1" applyBorder="1" applyAlignment="1">
      <alignment vertical="top"/>
    </xf>
    <xf numFmtId="0" fontId="10" fillId="13" borderId="2" xfId="1" applyFont="1" applyFill="1" applyBorder="1" applyAlignment="1">
      <alignment vertical="top"/>
    </xf>
    <xf numFmtId="0" fontId="10" fillId="13" borderId="3" xfId="1" applyFont="1" applyFill="1" applyBorder="1" applyAlignment="1">
      <alignment vertical="top"/>
    </xf>
    <xf numFmtId="49" fontId="10" fillId="0" borderId="1" xfId="1" applyNumberFormat="1" applyFont="1" applyFill="1" applyBorder="1" applyAlignment="1">
      <alignment horizontal="left" vertical="top"/>
    </xf>
    <xf numFmtId="49" fontId="10" fillId="0" borderId="2" xfId="1" applyNumberFormat="1" applyFont="1" applyFill="1" applyBorder="1" applyAlignment="1">
      <alignment horizontal="left" vertical="top"/>
    </xf>
    <xf numFmtId="49" fontId="10" fillId="18" borderId="1" xfId="1" applyNumberFormat="1" applyFont="1" applyFill="1" applyBorder="1" applyAlignment="1">
      <alignment vertical="top"/>
    </xf>
    <xf numFmtId="49" fontId="10" fillId="18" borderId="2" xfId="1" applyNumberFormat="1" applyFont="1" applyFill="1" applyBorder="1" applyAlignment="1">
      <alignment vertical="top"/>
    </xf>
    <xf numFmtId="49" fontId="10" fillId="18" borderId="3" xfId="1" applyNumberFormat="1" applyFont="1" applyFill="1" applyBorder="1" applyAlignment="1">
      <alignment vertical="top"/>
    </xf>
    <xf numFmtId="0" fontId="10" fillId="0" borderId="2" xfId="1" applyFont="1" applyFill="1" applyBorder="1" applyAlignment="1">
      <alignment horizontal="center" vertical="top"/>
    </xf>
    <xf numFmtId="0" fontId="10" fillId="0" borderId="3" xfId="1" applyFont="1" applyFill="1" applyBorder="1" applyAlignment="1">
      <alignment horizontal="center" vertical="top"/>
    </xf>
    <xf numFmtId="49" fontId="10" fillId="13" borderId="4" xfId="1" applyNumberFormat="1" applyFont="1" applyFill="1" applyBorder="1" applyAlignment="1">
      <alignment vertical="top"/>
    </xf>
    <xf numFmtId="0" fontId="10" fillId="13" borderId="4" xfId="1" applyFont="1" applyFill="1" applyBorder="1" applyAlignment="1">
      <alignment vertical="top"/>
    </xf>
    <xf numFmtId="49" fontId="10" fillId="0" borderId="3" xfId="1" applyNumberFormat="1" applyFont="1" applyFill="1" applyBorder="1" applyAlignment="1">
      <alignment horizontal="left" vertical="top"/>
    </xf>
    <xf numFmtId="49" fontId="10" fillId="0" borderId="4" xfId="1" applyNumberFormat="1" applyFont="1" applyFill="1" applyBorder="1" applyAlignment="1">
      <alignment vertical="top"/>
    </xf>
    <xf numFmtId="0" fontId="10" fillId="0" borderId="4" xfId="1" applyFont="1" applyFill="1" applyBorder="1" applyAlignment="1">
      <alignment vertical="top"/>
    </xf>
    <xf numFmtId="1" fontId="12" fillId="0" borderId="17" xfId="1" applyNumberFormat="1" applyFont="1" applyFill="1" applyBorder="1" applyAlignment="1">
      <alignment horizontal="center" vertical="top"/>
    </xf>
    <xf numFmtId="1" fontId="12" fillId="0" borderId="0" xfId="1" applyNumberFormat="1" applyFont="1" applyFill="1" applyBorder="1" applyAlignment="1">
      <alignment horizontal="center" vertical="top"/>
    </xf>
    <xf numFmtId="1" fontId="12" fillId="0" borderId="7" xfId="1" applyNumberFormat="1" applyFont="1" applyFill="1" applyBorder="1" applyAlignment="1">
      <alignment horizontal="center" vertical="top"/>
    </xf>
    <xf numFmtId="3" fontId="10" fillId="0" borderId="1" xfId="1" applyNumberFormat="1" applyFont="1" applyFill="1" applyBorder="1" applyAlignment="1">
      <alignment horizontal="center" vertical="top"/>
    </xf>
    <xf numFmtId="3" fontId="10" fillId="0" borderId="3" xfId="1" applyNumberFormat="1" applyFont="1" applyFill="1" applyBorder="1" applyAlignment="1">
      <alignment horizontal="center" vertical="top"/>
    </xf>
    <xf numFmtId="1" fontId="12" fillId="19" borderId="10" xfId="1" applyNumberFormat="1" applyFont="1" applyFill="1" applyBorder="1" applyAlignment="1">
      <alignment horizontal="center" vertical="top"/>
    </xf>
    <xf numFmtId="1" fontId="12" fillId="19" borderId="27" xfId="1" applyNumberFormat="1" applyFont="1" applyFill="1" applyBorder="1" applyAlignment="1">
      <alignment horizontal="center" vertical="top"/>
    </xf>
    <xf numFmtId="1" fontId="12" fillId="19" borderId="13" xfId="1" applyNumberFormat="1" applyFont="1" applyFill="1" applyBorder="1" applyAlignment="1">
      <alignment horizontal="center" vertical="top"/>
    </xf>
    <xf numFmtId="49" fontId="8" fillId="0" borderId="0" xfId="1" applyNumberFormat="1" applyFont="1" applyBorder="1" applyAlignment="1">
      <alignment horizontal="center" vertical="center"/>
    </xf>
    <xf numFmtId="49" fontId="8" fillId="0" borderId="0" xfId="1" applyNumberFormat="1" applyFont="1" applyAlignment="1">
      <alignment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8" fillId="0" borderId="17" xfId="1" applyNumberFormat="1" applyFont="1" applyBorder="1" applyAlignment="1">
      <alignment vertical="center"/>
    </xf>
    <xf numFmtId="49" fontId="10" fillId="0" borderId="0" xfId="1" applyNumberFormat="1" applyFont="1" applyAlignment="1">
      <alignment vertical="center"/>
    </xf>
    <xf numFmtId="49" fontId="10" fillId="0" borderId="0" xfId="1" applyNumberFormat="1" applyFont="1" applyFill="1" applyAlignment="1">
      <alignment vertical="center"/>
    </xf>
    <xf numFmtId="1" fontId="10" fillId="0" borderId="0" xfId="1" applyNumberFormat="1" applyFont="1" applyFill="1" applyAlignment="1">
      <alignment horizontal="center" vertical="center"/>
    </xf>
    <xf numFmtId="49" fontId="12" fillId="0" borderId="6" xfId="1" applyNumberFormat="1" applyFont="1" applyBorder="1" applyAlignment="1">
      <alignment horizontal="center" vertical="center" wrapText="1"/>
    </xf>
    <xf numFmtId="49" fontId="12" fillId="0" borderId="10" xfId="1" applyNumberFormat="1" applyFont="1" applyBorder="1" applyAlignment="1">
      <alignment horizontal="center" vertical="center" wrapText="1"/>
    </xf>
    <xf numFmtId="49" fontId="12" fillId="0" borderId="27" xfId="1" applyNumberFormat="1" applyFont="1" applyBorder="1" applyAlignment="1">
      <alignment horizontal="center" vertical="center" wrapText="1"/>
    </xf>
    <xf numFmtId="49" fontId="12" fillId="0" borderId="29" xfId="1" applyNumberFormat="1" applyFont="1" applyBorder="1" applyAlignment="1">
      <alignment horizontal="center" vertical="center" wrapText="1"/>
    </xf>
    <xf numFmtId="49" fontId="12" fillId="0" borderId="30" xfId="1" applyNumberFormat="1" applyFont="1" applyBorder="1" applyAlignment="1">
      <alignment horizontal="center" vertical="center" wrapText="1"/>
    </xf>
    <xf numFmtId="49" fontId="12" fillId="0" borderId="31" xfId="1" applyNumberFormat="1" applyFont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2" fillId="0" borderId="33" xfId="1" applyNumberFormat="1" applyFont="1" applyBorder="1" applyAlignment="1">
      <alignment horizontal="center" vertical="center" wrapText="1"/>
    </xf>
    <xf numFmtId="1" fontId="8" fillId="0" borderId="0" xfId="1" applyNumberFormat="1" applyFont="1" applyAlignment="1">
      <alignment horizontal="right" vertical="center"/>
    </xf>
    <xf numFmtId="49" fontId="8" fillId="0" borderId="0" xfId="1" applyNumberFormat="1" applyFont="1" applyAlignment="1">
      <alignment horizontal="right" vertical="center"/>
    </xf>
    <xf numFmtId="49" fontId="8" fillId="0" borderId="4" xfId="1" applyNumberFormat="1" applyFont="1" applyBorder="1" applyAlignment="1">
      <alignment horizontal="center" vertical="center"/>
    </xf>
    <xf numFmtId="49" fontId="9" fillId="0" borderId="15" xfId="1" applyNumberFormat="1" applyFont="1" applyBorder="1" applyAlignment="1">
      <alignment horizontal="center" vertical="center"/>
    </xf>
    <xf numFmtId="49" fontId="10" fillId="0" borderId="0" xfId="1" applyNumberFormat="1" applyFont="1" applyAlignment="1">
      <alignment horizontal="right" vertical="center"/>
    </xf>
    <xf numFmtId="49" fontId="10" fillId="0" borderId="0" xfId="1" applyNumberFormat="1" applyFont="1" applyFill="1" applyAlignment="1">
      <alignment horizontal="left" vertical="center"/>
    </xf>
    <xf numFmtId="49" fontId="10" fillId="0" borderId="0" xfId="1" applyNumberFormat="1" applyFont="1" applyFill="1" applyBorder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49" fontId="11" fillId="0" borderId="14" xfId="1" applyNumberFormat="1" applyFont="1" applyBorder="1" applyAlignment="1">
      <alignment horizontal="center" vertical="center"/>
    </xf>
    <xf numFmtId="49" fontId="12" fillId="0" borderId="17" xfId="1" applyNumberFormat="1" applyFont="1" applyBorder="1" applyAlignment="1">
      <alignment vertical="center"/>
    </xf>
    <xf numFmtId="49" fontId="12" fillId="0" borderId="0" xfId="1" applyNumberFormat="1" applyFont="1" applyAlignment="1">
      <alignment vertical="center"/>
    </xf>
    <xf numFmtId="49" fontId="10" fillId="0" borderId="0" xfId="1" applyNumberFormat="1" applyFont="1" applyBorder="1" applyAlignment="1">
      <alignment horizontal="right" vertical="center"/>
    </xf>
    <xf numFmtId="49" fontId="10" fillId="0" borderId="0" xfId="1" applyNumberFormat="1" applyFont="1" applyBorder="1" applyAlignment="1">
      <alignment horizontal="center" vertical="center"/>
    </xf>
    <xf numFmtId="49" fontId="10" fillId="0" borderId="0" xfId="1" applyNumberFormat="1" applyFont="1" applyBorder="1" applyAlignment="1">
      <alignment vertical="center"/>
    </xf>
    <xf numFmtId="49" fontId="10" fillId="0" borderId="0" xfId="1" applyNumberFormat="1" applyFont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 vertical="center"/>
    </xf>
    <xf numFmtId="49" fontId="8" fillId="0" borderId="0" xfId="1" applyNumberFormat="1" applyFont="1" applyFill="1" applyAlignment="1">
      <alignment vertical="center"/>
    </xf>
    <xf numFmtId="49" fontId="12" fillId="0" borderId="18" xfId="1" applyNumberFormat="1" applyFont="1" applyBorder="1" applyAlignment="1">
      <alignment horizontal="center" vertical="center" wrapText="1"/>
    </xf>
    <xf numFmtId="49" fontId="12" fillId="0" borderId="19" xfId="1" applyNumberFormat="1" applyFont="1" applyBorder="1" applyAlignment="1">
      <alignment horizontal="center" vertical="center" wrapText="1"/>
    </xf>
    <xf numFmtId="49" fontId="12" fillId="0" borderId="20" xfId="1" applyNumberFormat="1" applyFont="1" applyBorder="1" applyAlignment="1">
      <alignment horizontal="center" vertical="center" wrapText="1"/>
    </xf>
    <xf numFmtId="49" fontId="12" fillId="0" borderId="21" xfId="1" applyNumberFormat="1" applyFont="1" applyBorder="1" applyAlignment="1">
      <alignment horizontal="center" vertical="center" wrapText="1"/>
    </xf>
    <xf numFmtId="49" fontId="12" fillId="0" borderId="17" xfId="1" applyNumberFormat="1" applyFont="1" applyBorder="1" applyAlignment="1">
      <alignment horizontal="center" vertical="center" wrapText="1"/>
    </xf>
    <xf numFmtId="49" fontId="12" fillId="0" borderId="14" xfId="1" applyNumberFormat="1" applyFont="1" applyBorder="1" applyAlignment="1">
      <alignment horizontal="center" vertical="center" wrapText="1"/>
    </xf>
    <xf numFmtId="49" fontId="12" fillId="0" borderId="22" xfId="1" applyNumberFormat="1" applyFont="1" applyBorder="1" applyAlignment="1">
      <alignment horizontal="center" vertical="center" wrapText="1"/>
    </xf>
    <xf numFmtId="49" fontId="12" fillId="0" borderId="23" xfId="1" applyNumberFormat="1" applyFont="1" applyBorder="1" applyAlignment="1">
      <alignment horizontal="center" vertical="center" wrapText="1"/>
    </xf>
    <xf numFmtId="49" fontId="12" fillId="0" borderId="24" xfId="1" applyNumberFormat="1" applyFont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center" vertical="center" wrapText="1"/>
    </xf>
    <xf numFmtId="49" fontId="12" fillId="0" borderId="25" xfId="1" applyNumberFormat="1" applyFont="1" applyBorder="1" applyAlignment="1">
      <alignment horizontal="center" vertical="center" wrapText="1"/>
    </xf>
    <xf numFmtId="49" fontId="12" fillId="0" borderId="28" xfId="1" applyNumberFormat="1" applyFont="1" applyBorder="1" applyAlignment="1">
      <alignment horizontal="center" vertical="center" wrapText="1"/>
    </xf>
    <xf numFmtId="49" fontId="12" fillId="0" borderId="26" xfId="1" applyNumberFormat="1" applyFont="1" applyBorder="1" applyAlignment="1">
      <alignment horizontal="center" vertical="center" wrapText="1"/>
    </xf>
    <xf numFmtId="49" fontId="1" fillId="17" borderId="4" xfId="1" applyNumberFormat="1" applyFont="1" applyFill="1" applyBorder="1" applyAlignment="1">
      <alignment vertical="top"/>
    </xf>
    <xf numFmtId="1" fontId="10" fillId="17" borderId="4" xfId="1" applyNumberFormat="1" applyFont="1" applyFill="1" applyBorder="1" applyAlignment="1">
      <alignment horizontal="center" vertical="top"/>
    </xf>
    <xf numFmtId="3" fontId="1" fillId="5" borderId="1" xfId="1" applyNumberFormat="1" applyFont="1" applyFill="1" applyBorder="1" applyAlignment="1">
      <alignment horizontal="center" vertical="top"/>
    </xf>
    <xf numFmtId="3" fontId="1" fillId="5" borderId="3" xfId="1" applyNumberFormat="1" applyFont="1" applyFill="1" applyBorder="1" applyAlignment="1">
      <alignment horizontal="center" vertical="top"/>
    </xf>
    <xf numFmtId="3" fontId="1" fillId="17" borderId="1" xfId="1" applyNumberFormat="1" applyFont="1" applyFill="1" applyBorder="1" applyAlignment="1">
      <alignment horizontal="center" vertical="top"/>
    </xf>
    <xf numFmtId="3" fontId="1" fillId="17" borderId="2" xfId="1" applyNumberFormat="1" applyFont="1" applyFill="1" applyBorder="1" applyAlignment="1">
      <alignment horizontal="center" vertical="top"/>
    </xf>
    <xf numFmtId="3" fontId="1" fillId="17" borderId="3" xfId="1" applyNumberFormat="1" applyFont="1" applyFill="1" applyBorder="1" applyAlignment="1">
      <alignment horizontal="center" vertical="top"/>
    </xf>
    <xf numFmtId="1" fontId="12" fillId="17" borderId="1" xfId="1" applyNumberFormat="1" applyFont="1" applyFill="1" applyBorder="1" applyAlignment="1">
      <alignment horizontal="center" vertical="top" wrapText="1"/>
    </xf>
    <xf numFmtId="1" fontId="12" fillId="17" borderId="2" xfId="1" applyNumberFormat="1" applyFont="1" applyFill="1" applyBorder="1" applyAlignment="1">
      <alignment horizontal="center" vertical="top" wrapText="1"/>
    </xf>
    <xf numFmtId="1" fontId="12" fillId="17" borderId="5" xfId="1" applyNumberFormat="1" applyFont="1" applyFill="1" applyBorder="1" applyAlignment="1">
      <alignment horizontal="center" vertical="top" wrapText="1"/>
    </xf>
    <xf numFmtId="49" fontId="12" fillId="0" borderId="34" xfId="1" applyNumberFormat="1" applyFont="1" applyBorder="1" applyAlignment="1">
      <alignment horizontal="center" vertical="center" wrapText="1"/>
    </xf>
    <xf numFmtId="49" fontId="10" fillId="17" borderId="19" xfId="1" applyNumberFormat="1" applyFont="1" applyFill="1" applyBorder="1" applyAlignment="1">
      <alignment vertical="top"/>
    </xf>
    <xf numFmtId="1" fontId="10" fillId="17" borderId="19" xfId="1" applyNumberFormat="1" applyFont="1" applyFill="1" applyBorder="1" applyAlignment="1">
      <alignment horizontal="center" vertical="top"/>
    </xf>
    <xf numFmtId="3" fontId="1" fillId="5" borderId="22" xfId="1" applyNumberFormat="1" applyFont="1" applyFill="1" applyBorder="1" applyAlignment="1">
      <alignment horizontal="center" vertical="top"/>
    </xf>
    <xf numFmtId="3" fontId="1" fillId="5" borderId="23" xfId="1" applyNumberFormat="1" applyFont="1" applyFill="1" applyBorder="1" applyAlignment="1">
      <alignment horizontal="center" vertical="top"/>
    </xf>
    <xf numFmtId="3" fontId="1" fillId="5" borderId="36" xfId="1" applyNumberFormat="1" applyFont="1" applyFill="1" applyBorder="1" applyAlignment="1">
      <alignment horizontal="center" vertical="top"/>
    </xf>
    <xf numFmtId="1" fontId="12" fillId="17" borderId="1" xfId="1" applyNumberFormat="1" applyFont="1" applyFill="1" applyBorder="1" applyAlignment="1">
      <alignment horizontal="center" vertical="top"/>
    </xf>
    <xf numFmtId="1" fontId="12" fillId="17" borderId="2" xfId="1" applyNumberFormat="1" applyFont="1" applyFill="1" applyBorder="1" applyAlignment="1">
      <alignment horizontal="center" vertical="top"/>
    </xf>
    <xf numFmtId="1" fontId="12" fillId="17" borderId="5" xfId="1" applyNumberFormat="1" applyFont="1" applyFill="1" applyBorder="1" applyAlignment="1">
      <alignment horizontal="center" vertical="top"/>
    </xf>
    <xf numFmtId="49" fontId="10" fillId="18" borderId="4" xfId="1" applyNumberFormat="1" applyFont="1" applyFill="1" applyBorder="1" applyAlignment="1">
      <alignment vertical="top"/>
    </xf>
    <xf numFmtId="1" fontId="10" fillId="17" borderId="1" xfId="1" applyNumberFormat="1" applyFont="1" applyFill="1" applyBorder="1" applyAlignment="1">
      <alignment horizontal="center" vertical="top"/>
    </xf>
    <xf numFmtId="1" fontId="10" fillId="17" borderId="2" xfId="1" applyNumberFormat="1" applyFont="1" applyFill="1" applyBorder="1" applyAlignment="1">
      <alignment horizontal="center" vertical="top"/>
    </xf>
    <xf numFmtId="1" fontId="10" fillId="17" borderId="3" xfId="1" applyNumberFormat="1" applyFont="1" applyFill="1" applyBorder="1" applyAlignment="1">
      <alignment horizontal="center" vertical="top"/>
    </xf>
    <xf numFmtId="1" fontId="12" fillId="5" borderId="1" xfId="1" applyNumberFormat="1" applyFont="1" applyFill="1" applyBorder="1" applyAlignment="1">
      <alignment horizontal="center" vertical="top" wrapText="1"/>
    </xf>
    <xf numFmtId="1" fontId="12" fillId="5" borderId="2" xfId="1" applyNumberFormat="1" applyFont="1" applyFill="1" applyBorder="1" applyAlignment="1">
      <alignment horizontal="center" vertical="top" wrapText="1"/>
    </xf>
    <xf numFmtId="1" fontId="12" fillId="5" borderId="5" xfId="1" applyNumberFormat="1" applyFont="1" applyFill="1" applyBorder="1" applyAlignment="1">
      <alignment horizontal="center" vertical="top" wrapText="1"/>
    </xf>
    <xf numFmtId="49" fontId="10" fillId="17" borderId="4" xfId="1" applyNumberFormat="1" applyFont="1" applyFill="1" applyBorder="1" applyAlignment="1">
      <alignment vertical="top"/>
    </xf>
    <xf numFmtId="1" fontId="12" fillId="17" borderId="4" xfId="1" applyNumberFormat="1" applyFont="1" applyFill="1" applyBorder="1" applyAlignment="1">
      <alignment horizontal="center" vertical="top"/>
    </xf>
    <xf numFmtId="1" fontId="12" fillId="17" borderId="38" xfId="1" applyNumberFormat="1" applyFont="1" applyFill="1" applyBorder="1" applyAlignment="1">
      <alignment horizontal="center" vertical="top"/>
    </xf>
    <xf numFmtId="1" fontId="12" fillId="5" borderId="1" xfId="1" applyNumberFormat="1" applyFont="1" applyFill="1" applyBorder="1" applyAlignment="1">
      <alignment horizontal="center" vertical="top"/>
    </xf>
    <xf numFmtId="1" fontId="12" fillId="5" borderId="2" xfId="1" applyNumberFormat="1" applyFont="1" applyFill="1" applyBorder="1" applyAlignment="1">
      <alignment horizontal="center" vertical="top"/>
    </xf>
    <xf numFmtId="1" fontId="12" fillId="5" borderId="5" xfId="1" applyNumberFormat="1" applyFont="1" applyFill="1" applyBorder="1" applyAlignment="1">
      <alignment horizontal="center" vertical="top"/>
    </xf>
    <xf numFmtId="49" fontId="10" fillId="18" borderId="17" xfId="1" applyNumberFormat="1" applyFont="1" applyFill="1" applyBorder="1" applyAlignment="1">
      <alignment vertical="top"/>
    </xf>
    <xf numFmtId="0" fontId="10" fillId="18" borderId="0" xfId="1" applyFont="1" applyFill="1" applyBorder="1" applyAlignment="1">
      <alignment vertical="top"/>
    </xf>
    <xf numFmtId="0" fontId="10" fillId="18" borderId="14" xfId="1" applyFont="1" applyFill="1" applyBorder="1" applyAlignment="1">
      <alignment vertical="top"/>
    </xf>
    <xf numFmtId="1" fontId="10" fillId="17" borderId="17" xfId="1" applyNumberFormat="1" applyFont="1" applyFill="1" applyBorder="1" applyAlignment="1">
      <alignment horizontal="center" vertical="top"/>
    </xf>
    <xf numFmtId="1" fontId="10" fillId="17" borderId="0" xfId="1" applyNumberFormat="1" applyFont="1" applyFill="1" applyBorder="1" applyAlignment="1">
      <alignment horizontal="center" vertical="top"/>
    </xf>
    <xf numFmtId="1" fontId="10" fillId="17" borderId="14" xfId="1" applyNumberFormat="1" applyFont="1" applyFill="1" applyBorder="1" applyAlignment="1">
      <alignment horizontal="center" vertical="top"/>
    </xf>
    <xf numFmtId="3" fontId="1" fillId="17" borderId="10" xfId="1" applyNumberFormat="1" applyFont="1" applyFill="1" applyBorder="1" applyAlignment="1">
      <alignment horizontal="center" vertical="top"/>
    </xf>
    <xf numFmtId="3" fontId="1" fillId="17" borderId="11" xfId="1" applyNumberFormat="1" applyFont="1" applyFill="1" applyBorder="1" applyAlignment="1">
      <alignment horizontal="center" vertical="top"/>
    </xf>
    <xf numFmtId="3" fontId="1" fillId="17" borderId="17" xfId="1" applyNumberFormat="1" applyFont="1" applyFill="1" applyBorder="1" applyAlignment="1">
      <alignment horizontal="center" vertical="top"/>
    </xf>
    <xf numFmtId="3" fontId="1" fillId="17" borderId="0" xfId="1" applyNumberFormat="1" applyFont="1" applyFill="1" applyBorder="1" applyAlignment="1">
      <alignment horizontal="center" vertical="top"/>
    </xf>
    <xf numFmtId="3" fontId="1" fillId="17" borderId="14" xfId="1" applyNumberFormat="1" applyFont="1" applyFill="1" applyBorder="1" applyAlignment="1">
      <alignment horizontal="center" vertical="top"/>
    </xf>
    <xf numFmtId="1" fontId="12" fillId="17" borderId="17" xfId="1" applyNumberFormat="1" applyFont="1" applyFill="1" applyBorder="1" applyAlignment="1">
      <alignment horizontal="center" vertical="top"/>
    </xf>
    <xf numFmtId="1" fontId="12" fillId="17" borderId="0" xfId="1" applyNumberFormat="1" applyFont="1" applyFill="1" applyBorder="1" applyAlignment="1">
      <alignment horizontal="center" vertical="top"/>
    </xf>
    <xf numFmtId="1" fontId="12" fillId="17" borderId="7" xfId="1" applyNumberFormat="1" applyFont="1" applyFill="1" applyBorder="1" applyAlignment="1">
      <alignment horizontal="center" vertical="top"/>
    </xf>
    <xf numFmtId="0" fontId="10" fillId="18" borderId="2" xfId="1" applyFont="1" applyFill="1" applyBorder="1" applyAlignment="1">
      <alignment vertical="top"/>
    </xf>
    <xf numFmtId="0" fontId="10" fillId="18" borderId="3" xfId="1" applyFont="1" applyFill="1" applyBorder="1" applyAlignment="1">
      <alignment vertical="top"/>
    </xf>
    <xf numFmtId="3" fontId="1" fillId="17" borderId="19" xfId="1" applyNumberFormat="1" applyFont="1" applyFill="1" applyBorder="1" applyAlignment="1">
      <alignment horizontal="center" vertical="top"/>
    </xf>
    <xf numFmtId="1" fontId="12" fillId="5" borderId="22" xfId="1" applyNumberFormat="1" applyFont="1" applyFill="1" applyBorder="1" applyAlignment="1">
      <alignment horizontal="center" vertical="top" wrapText="1"/>
    </xf>
    <xf numFmtId="1" fontId="12" fillId="5" borderId="23" xfId="1" applyNumberFormat="1" applyFont="1" applyFill="1" applyBorder="1" applyAlignment="1">
      <alignment horizontal="center" vertical="top" wrapText="1"/>
    </xf>
    <xf numFmtId="1" fontId="12" fillId="5" borderId="44" xfId="1" applyNumberFormat="1" applyFont="1" applyFill="1" applyBorder="1" applyAlignment="1">
      <alignment horizontal="center" vertical="top" wrapText="1"/>
    </xf>
    <xf numFmtId="49" fontId="10" fillId="18" borderId="36" xfId="1" applyNumberFormat="1" applyFont="1" applyFill="1" applyBorder="1" applyAlignment="1">
      <alignment vertical="top"/>
    </xf>
    <xf numFmtId="49" fontId="10" fillId="18" borderId="19" xfId="1" applyNumberFormat="1" applyFont="1" applyFill="1" applyBorder="1" applyAlignment="1">
      <alignment vertical="top"/>
    </xf>
    <xf numFmtId="1" fontId="10" fillId="17" borderId="22" xfId="1" applyNumberFormat="1" applyFont="1" applyFill="1" applyBorder="1" applyAlignment="1">
      <alignment horizontal="center" vertical="top"/>
    </xf>
    <xf numFmtId="1" fontId="10" fillId="17" borderId="23" xfId="1" applyNumberFormat="1" applyFont="1" applyFill="1" applyBorder="1" applyAlignment="1">
      <alignment horizontal="center" vertical="top"/>
    </xf>
    <xf numFmtId="1" fontId="10" fillId="17" borderId="36" xfId="1" applyNumberFormat="1" applyFont="1" applyFill="1" applyBorder="1" applyAlignment="1">
      <alignment horizontal="center" vertical="top"/>
    </xf>
    <xf numFmtId="3" fontId="1" fillId="17" borderId="22" xfId="1" applyNumberFormat="1" applyFont="1" applyFill="1" applyBorder="1" applyAlignment="1">
      <alignment horizontal="center" vertical="top"/>
    </xf>
    <xf numFmtId="3" fontId="1" fillId="17" borderId="36" xfId="1" applyNumberFormat="1" applyFont="1" applyFill="1" applyBorder="1" applyAlignment="1">
      <alignment horizontal="center" vertical="top"/>
    </xf>
    <xf numFmtId="3" fontId="1" fillId="17" borderId="23" xfId="1" applyNumberFormat="1" applyFont="1" applyFill="1" applyBorder="1" applyAlignment="1">
      <alignment horizontal="center" vertical="top"/>
    </xf>
    <xf numFmtId="49" fontId="10" fillId="18" borderId="12" xfId="1" applyNumberFormat="1" applyFont="1" applyFill="1" applyBorder="1" applyAlignment="1">
      <alignment vertical="top"/>
    </xf>
    <xf numFmtId="49" fontId="10" fillId="18" borderId="46" xfId="1" applyNumberFormat="1" applyFont="1" applyFill="1" applyBorder="1" applyAlignment="1">
      <alignment vertical="top"/>
    </xf>
    <xf numFmtId="1" fontId="10" fillId="17" borderId="47" xfId="1" applyNumberFormat="1" applyFont="1" applyFill="1" applyBorder="1" applyAlignment="1">
      <alignment horizontal="center" vertical="top"/>
    </xf>
    <xf numFmtId="1" fontId="10" fillId="17" borderId="48" xfId="1" applyNumberFormat="1" applyFont="1" applyFill="1" applyBorder="1" applyAlignment="1">
      <alignment horizontal="center" vertical="top"/>
    </xf>
    <xf numFmtId="1" fontId="10" fillId="17" borderId="12" xfId="1" applyNumberFormat="1" applyFont="1" applyFill="1" applyBorder="1" applyAlignment="1">
      <alignment horizontal="center" vertical="top"/>
    </xf>
    <xf numFmtId="3" fontId="1" fillId="17" borderId="47" xfId="1" applyNumberFormat="1" applyFont="1" applyFill="1" applyBorder="1" applyAlignment="1">
      <alignment horizontal="center" vertical="top"/>
    </xf>
    <xf numFmtId="3" fontId="1" fillId="17" borderId="12" xfId="1" applyNumberFormat="1" applyFont="1" applyFill="1" applyBorder="1" applyAlignment="1">
      <alignment horizontal="center" vertical="top"/>
    </xf>
    <xf numFmtId="3" fontId="1" fillId="17" borderId="48" xfId="1" applyNumberFormat="1" applyFont="1" applyFill="1" applyBorder="1" applyAlignment="1">
      <alignment horizontal="center" vertical="top"/>
    </xf>
    <xf numFmtId="3" fontId="1" fillId="17" borderId="46" xfId="1" applyNumberFormat="1" applyFont="1" applyFill="1" applyBorder="1" applyAlignment="1">
      <alignment horizontal="center" vertical="top"/>
    </xf>
    <xf numFmtId="1" fontId="12" fillId="5" borderId="10" xfId="1" applyNumberFormat="1" applyFont="1" applyFill="1" applyBorder="1" applyAlignment="1">
      <alignment horizontal="center" vertical="top"/>
    </xf>
    <xf numFmtId="1" fontId="12" fillId="5" borderId="27" xfId="1" applyNumberFormat="1" applyFont="1" applyFill="1" applyBorder="1" applyAlignment="1">
      <alignment horizontal="center" vertical="top"/>
    </xf>
    <xf numFmtId="1" fontId="12" fillId="5" borderId="13" xfId="1" applyNumberFormat="1" applyFont="1" applyFill="1" applyBorder="1" applyAlignment="1">
      <alignment horizontal="center" vertical="top"/>
    </xf>
    <xf numFmtId="3" fontId="1" fillId="17" borderId="4" xfId="1" applyNumberFormat="1" applyFont="1" applyFill="1" applyBorder="1" applyAlignment="1">
      <alignment horizontal="center" vertical="top"/>
    </xf>
    <xf numFmtId="3" fontId="1" fillId="17" borderId="5" xfId="1" applyNumberFormat="1" applyFont="1" applyFill="1" applyBorder="1" applyAlignment="1">
      <alignment horizontal="center" vertical="top"/>
    </xf>
    <xf numFmtId="49" fontId="10" fillId="5" borderId="1" xfId="1" applyNumberFormat="1" applyFont="1" applyFill="1" applyBorder="1" applyAlignment="1">
      <alignment vertical="top" wrapText="1"/>
    </xf>
    <xf numFmtId="49" fontId="10" fillId="5" borderId="2" xfId="1" applyNumberFormat="1" applyFont="1" applyFill="1" applyBorder="1" applyAlignment="1">
      <alignment vertical="top" wrapText="1"/>
    </xf>
    <xf numFmtId="49" fontId="10" fillId="5" borderId="3" xfId="1" applyNumberFormat="1" applyFont="1" applyFill="1" applyBorder="1" applyAlignment="1">
      <alignment vertical="top" wrapText="1"/>
    </xf>
    <xf numFmtId="1" fontId="10" fillId="5" borderId="4" xfId="1" applyNumberFormat="1" applyFont="1" applyFill="1" applyBorder="1" applyAlignment="1">
      <alignment horizontal="center" vertical="top"/>
    </xf>
    <xf numFmtId="3" fontId="1" fillId="5" borderId="2" xfId="1" applyNumberFormat="1" applyFont="1" applyFill="1" applyBorder="1" applyAlignment="1">
      <alignment horizontal="center" vertical="top"/>
    </xf>
    <xf numFmtId="1" fontId="12" fillId="5" borderId="19" xfId="1" applyNumberFormat="1" applyFont="1" applyFill="1" applyBorder="1" applyAlignment="1">
      <alignment horizontal="center" vertical="top"/>
    </xf>
    <xf numFmtId="1" fontId="12" fillId="5" borderId="25" xfId="1" applyNumberFormat="1" applyFont="1" applyFill="1" applyBorder="1" applyAlignment="1">
      <alignment horizontal="center" vertical="top"/>
    </xf>
    <xf numFmtId="49" fontId="10" fillId="18" borderId="6" xfId="1" applyNumberFormat="1" applyFont="1" applyFill="1" applyBorder="1" applyAlignment="1">
      <alignment vertical="top"/>
    </xf>
    <xf numFmtId="1" fontId="10" fillId="17" borderId="10" xfId="1" applyNumberFormat="1" applyFont="1" applyFill="1" applyBorder="1" applyAlignment="1">
      <alignment horizontal="center" vertical="top"/>
    </xf>
    <xf numFmtId="1" fontId="10" fillId="17" borderId="27" xfId="1" applyNumberFormat="1" applyFont="1" applyFill="1" applyBorder="1" applyAlignment="1">
      <alignment horizontal="center" vertical="top"/>
    </xf>
    <xf numFmtId="1" fontId="10" fillId="17" borderId="11" xfId="1" applyNumberFormat="1" applyFont="1" applyFill="1" applyBorder="1" applyAlignment="1">
      <alignment horizontal="center" vertical="top"/>
    </xf>
    <xf numFmtId="3" fontId="1" fillId="17" borderId="27" xfId="1" applyNumberFormat="1" applyFont="1" applyFill="1" applyBorder="1" applyAlignment="1">
      <alignment horizontal="center" vertical="top"/>
    </xf>
    <xf numFmtId="3" fontId="1" fillId="17" borderId="6" xfId="1" applyNumberFormat="1" applyFont="1" applyFill="1" applyBorder="1" applyAlignment="1">
      <alignment horizontal="center" vertical="top"/>
    </xf>
    <xf numFmtId="1" fontId="12" fillId="5" borderId="22" xfId="1" applyNumberFormat="1" applyFont="1" applyFill="1" applyBorder="1" applyAlignment="1">
      <alignment horizontal="center" vertical="top"/>
    </xf>
    <xf numFmtId="1" fontId="12" fillId="5" borderId="23" xfId="1" applyNumberFormat="1" applyFont="1" applyFill="1" applyBorder="1" applyAlignment="1">
      <alignment horizontal="center" vertical="top"/>
    </xf>
    <xf numFmtId="1" fontId="12" fillId="5" borderId="44" xfId="1" applyNumberFormat="1" applyFont="1" applyFill="1" applyBorder="1" applyAlignment="1">
      <alignment horizontal="center" vertical="top"/>
    </xf>
    <xf numFmtId="49" fontId="10" fillId="5" borderId="4" xfId="1" applyNumberFormat="1" applyFont="1" applyFill="1" applyBorder="1" applyAlignment="1">
      <alignment vertical="top"/>
    </xf>
    <xf numFmtId="3" fontId="1" fillId="5" borderId="4" xfId="1" applyNumberFormat="1" applyFont="1" applyFill="1" applyBorder="1" applyAlignment="1">
      <alignment horizontal="center" vertical="top"/>
    </xf>
    <xf numFmtId="3" fontId="1" fillId="5" borderId="49" xfId="1" applyNumberFormat="1" applyFont="1" applyFill="1" applyBorder="1" applyAlignment="1">
      <alignment horizontal="center" vertical="top"/>
    </xf>
    <xf numFmtId="3" fontId="1" fillId="5" borderId="15" xfId="1" applyNumberFormat="1" applyFont="1" applyFill="1" applyBorder="1" applyAlignment="1">
      <alignment horizontal="center" vertical="top"/>
    </xf>
    <xf numFmtId="1" fontId="12" fillId="5" borderId="4" xfId="1" applyNumberFormat="1" applyFont="1" applyFill="1" applyBorder="1" applyAlignment="1">
      <alignment horizontal="center" vertical="top"/>
    </xf>
    <xf numFmtId="1" fontId="12" fillId="5" borderId="38" xfId="1" applyNumberFormat="1" applyFont="1" applyFill="1" applyBorder="1" applyAlignment="1">
      <alignment horizontal="center" vertical="top"/>
    </xf>
    <xf numFmtId="49" fontId="1" fillId="5" borderId="35" xfId="1" applyNumberFormat="1" applyFont="1" applyFill="1" applyBorder="1" applyAlignment="1">
      <alignment horizontal="center" vertical="center" wrapText="1"/>
    </xf>
    <xf numFmtId="49" fontId="1" fillId="5" borderId="24" xfId="1" applyNumberFormat="1" applyFont="1" applyFill="1" applyBorder="1" applyAlignment="1">
      <alignment horizontal="center" vertical="center" wrapText="1"/>
    </xf>
    <xf numFmtId="49" fontId="1" fillId="5" borderId="21" xfId="1" applyNumberFormat="1" applyFont="1" applyFill="1" applyBorder="1" applyAlignment="1">
      <alignment horizontal="center" vertical="center" wrapText="1"/>
    </xf>
    <xf numFmtId="49" fontId="1" fillId="5" borderId="37" xfId="1" applyNumberFormat="1" applyFont="1" applyFill="1" applyBorder="1" applyAlignment="1">
      <alignment horizontal="center" vertical="center" wrapText="1"/>
    </xf>
    <xf numFmtId="49" fontId="1" fillId="5" borderId="0" xfId="1" applyNumberFormat="1" applyFont="1" applyFill="1" applyBorder="1" applyAlignment="1">
      <alignment horizontal="center" vertical="center" wrapText="1"/>
    </xf>
    <xf numFmtId="49" fontId="1" fillId="5" borderId="14" xfId="1" applyNumberFormat="1" applyFont="1" applyFill="1" applyBorder="1" applyAlignment="1">
      <alignment horizontal="center" vertical="center" wrapText="1"/>
    </xf>
    <xf numFmtId="49" fontId="1" fillId="5" borderId="39" xfId="1" applyNumberFormat="1" applyFont="1" applyFill="1" applyBorder="1" applyAlignment="1">
      <alignment horizontal="center" vertical="center" wrapText="1"/>
    </xf>
    <xf numFmtId="49" fontId="1" fillId="5" borderId="40" xfId="1" applyNumberFormat="1" applyFont="1" applyFill="1" applyBorder="1" applyAlignment="1">
      <alignment horizontal="center" vertical="center" wrapText="1"/>
    </xf>
    <xf numFmtId="49" fontId="1" fillId="5" borderId="41" xfId="1" applyNumberFormat="1" applyFont="1" applyFill="1" applyBorder="1" applyAlignment="1">
      <alignment horizontal="center" vertical="center" wrapText="1"/>
    </xf>
    <xf numFmtId="49" fontId="12" fillId="5" borderId="24" xfId="1" applyNumberFormat="1" applyFont="1" applyFill="1" applyBorder="1" applyAlignment="1">
      <alignment horizontal="center" vertical="top"/>
    </xf>
    <xf numFmtId="49" fontId="12" fillId="5" borderId="0" xfId="1" applyNumberFormat="1" applyFont="1" applyFill="1" applyBorder="1" applyAlignment="1">
      <alignment horizontal="center" vertical="top"/>
    </xf>
    <xf numFmtId="49" fontId="12" fillId="5" borderId="40" xfId="1" applyNumberFormat="1" applyFont="1" applyFill="1" applyBorder="1" applyAlignment="1">
      <alignment horizontal="center" vertical="top"/>
    </xf>
    <xf numFmtId="49" fontId="10" fillId="5" borderId="22" xfId="1" applyNumberFormat="1" applyFont="1" applyFill="1" applyBorder="1" applyAlignment="1">
      <alignment vertical="top" wrapText="1"/>
    </xf>
    <xf numFmtId="49" fontId="10" fillId="5" borderId="23" xfId="1" applyNumberFormat="1" applyFont="1" applyFill="1" applyBorder="1" applyAlignment="1">
      <alignment vertical="top" wrapText="1"/>
    </xf>
    <xf numFmtId="49" fontId="10" fillId="5" borderId="36" xfId="1" applyNumberFormat="1" applyFont="1" applyFill="1" applyBorder="1" applyAlignment="1">
      <alignment vertical="top" wrapText="1"/>
    </xf>
    <xf numFmtId="1" fontId="10" fillId="5" borderId="22" xfId="1" applyNumberFormat="1" applyFont="1" applyFill="1" applyBorder="1" applyAlignment="1">
      <alignment horizontal="center" vertical="top"/>
    </xf>
    <xf numFmtId="1" fontId="10" fillId="5" borderId="23" xfId="1" applyNumberFormat="1" applyFont="1" applyFill="1" applyBorder="1" applyAlignment="1">
      <alignment horizontal="center" vertical="top"/>
    </xf>
    <xf numFmtId="1" fontId="10" fillId="5" borderId="36" xfId="1" applyNumberFormat="1" applyFont="1" applyFill="1" applyBorder="1" applyAlignment="1">
      <alignment horizontal="center" vertical="top"/>
    </xf>
    <xf numFmtId="49" fontId="10" fillId="5" borderId="46" xfId="1" applyNumberFormat="1" applyFont="1" applyFill="1" applyBorder="1" applyAlignment="1">
      <alignment vertical="top"/>
    </xf>
    <xf numFmtId="1" fontId="10" fillId="5" borderId="46" xfId="1" applyNumberFormat="1" applyFont="1" applyFill="1" applyBorder="1" applyAlignment="1">
      <alignment horizontal="center" vertical="top"/>
    </xf>
    <xf numFmtId="3" fontId="1" fillId="5" borderId="46" xfId="1" applyNumberFormat="1" applyFont="1" applyFill="1" applyBorder="1" applyAlignment="1">
      <alignment horizontal="center" vertical="top"/>
    </xf>
    <xf numFmtId="1" fontId="12" fillId="5" borderId="46" xfId="1" applyNumberFormat="1" applyFont="1" applyFill="1" applyBorder="1" applyAlignment="1">
      <alignment horizontal="center" vertical="top"/>
    </xf>
    <xf numFmtId="1" fontId="12" fillId="5" borderId="50" xfId="1" applyNumberFormat="1" applyFont="1" applyFill="1" applyBorder="1" applyAlignment="1">
      <alignment horizontal="center" vertical="top"/>
    </xf>
    <xf numFmtId="49" fontId="10" fillId="0" borderId="49" xfId="1" applyNumberFormat="1" applyFont="1" applyFill="1" applyBorder="1" applyAlignment="1">
      <alignment vertical="center" wrapText="1"/>
    </xf>
    <xf numFmtId="49" fontId="10" fillId="0" borderId="15" xfId="1" applyNumberFormat="1" applyFont="1" applyFill="1" applyBorder="1" applyAlignment="1">
      <alignment vertical="center" wrapText="1"/>
    </xf>
    <xf numFmtId="49" fontId="10" fillId="0" borderId="16" xfId="1" applyNumberFormat="1" applyFont="1" applyFill="1" applyBorder="1" applyAlignment="1">
      <alignment vertical="center" wrapText="1"/>
    </xf>
    <xf numFmtId="1" fontId="10" fillId="0" borderId="9" xfId="1" applyNumberFormat="1" applyFont="1" applyFill="1" applyBorder="1" applyAlignment="1">
      <alignment horizontal="center" vertical="center"/>
    </xf>
    <xf numFmtId="3" fontId="1" fillId="0" borderId="49" xfId="1" applyNumberFormat="1" applyFont="1" applyFill="1" applyBorder="1" applyAlignment="1">
      <alignment horizontal="center" vertical="center"/>
    </xf>
    <xf numFmtId="3" fontId="1" fillId="0" borderId="15" xfId="1" applyNumberFormat="1" applyFont="1" applyFill="1" applyBorder="1" applyAlignment="1">
      <alignment horizontal="center" vertical="center"/>
    </xf>
    <xf numFmtId="3" fontId="1" fillId="13" borderId="49" xfId="1" applyNumberFormat="1" applyFont="1" applyFill="1" applyBorder="1" applyAlignment="1">
      <alignment horizontal="center" vertical="center"/>
    </xf>
    <xf numFmtId="3" fontId="1" fillId="13" borderId="15" xfId="1" applyNumberFormat="1" applyFont="1" applyFill="1" applyBorder="1" applyAlignment="1">
      <alignment horizontal="center" vertical="center"/>
    </xf>
    <xf numFmtId="3" fontId="1" fillId="13" borderId="16" xfId="1" applyNumberFormat="1" applyFont="1" applyFill="1" applyBorder="1" applyAlignment="1">
      <alignment horizontal="center" vertical="center"/>
    </xf>
    <xf numFmtId="1" fontId="12" fillId="0" borderId="49" xfId="1" applyNumberFormat="1" applyFont="1" applyFill="1" applyBorder="1" applyAlignment="1">
      <alignment horizontal="center" vertical="center"/>
    </xf>
    <xf numFmtId="1" fontId="12" fillId="0" borderId="15" xfId="1" applyNumberFormat="1" applyFont="1" applyFill="1" applyBorder="1" applyAlignment="1">
      <alignment horizontal="center" vertical="center"/>
    </xf>
    <xf numFmtId="1" fontId="12" fillId="0" borderId="51" xfId="1" applyNumberFormat="1" applyFont="1" applyFill="1" applyBorder="1" applyAlignment="1">
      <alignment horizontal="center" vertical="center"/>
    </xf>
    <xf numFmtId="1" fontId="10" fillId="5" borderId="54" xfId="1" applyNumberFormat="1" applyFont="1" applyFill="1" applyBorder="1" applyAlignment="1">
      <alignment horizontal="center" vertical="top"/>
    </xf>
    <xf numFmtId="1" fontId="10" fillId="5" borderId="53" xfId="1" applyNumberFormat="1" applyFont="1" applyFill="1" applyBorder="1" applyAlignment="1">
      <alignment horizontal="center" vertical="top"/>
    </xf>
    <xf numFmtId="49" fontId="10" fillId="0" borderId="22" xfId="1" applyNumberFormat="1" applyFont="1" applyFill="1" applyBorder="1" applyAlignment="1">
      <alignment vertical="top"/>
    </xf>
    <xf numFmtId="0" fontId="10" fillId="0" borderId="23" xfId="1" applyFont="1" applyFill="1" applyBorder="1" applyAlignment="1">
      <alignment vertical="top"/>
    </xf>
    <xf numFmtId="0" fontId="10" fillId="0" borderId="36" xfId="1" applyFont="1" applyFill="1" applyBorder="1" applyAlignment="1">
      <alignment vertical="top"/>
    </xf>
    <xf numFmtId="1" fontId="10" fillId="0" borderId="22" xfId="1" applyNumberFormat="1" applyFont="1" applyFill="1" applyBorder="1" applyAlignment="1">
      <alignment horizontal="center" vertical="top"/>
    </xf>
    <xf numFmtId="1" fontId="10" fillId="0" borderId="23" xfId="1" applyNumberFormat="1" applyFont="1" applyFill="1" applyBorder="1" applyAlignment="1">
      <alignment horizontal="center" vertical="top"/>
    </xf>
    <xf numFmtId="1" fontId="10" fillId="0" borderId="36" xfId="1" applyNumberFormat="1" applyFont="1" applyFill="1" applyBorder="1" applyAlignment="1">
      <alignment horizontal="center" vertical="top"/>
    </xf>
    <xf numFmtId="3" fontId="1" fillId="0" borderId="22" xfId="1" applyNumberFormat="1" applyFont="1" applyFill="1" applyBorder="1" applyAlignment="1">
      <alignment horizontal="center" vertical="top"/>
    </xf>
    <xf numFmtId="3" fontId="1" fillId="0" borderId="23" xfId="1" applyNumberFormat="1" applyFont="1" applyFill="1" applyBorder="1" applyAlignment="1">
      <alignment horizontal="center" vertical="top"/>
    </xf>
    <xf numFmtId="0" fontId="10" fillId="0" borderId="2" xfId="1" applyFont="1" applyFill="1" applyBorder="1" applyAlignment="1">
      <alignment vertical="top"/>
    </xf>
    <xf numFmtId="0" fontId="10" fillId="0" borderId="3" xfId="1" applyFont="1" applyFill="1" applyBorder="1" applyAlignment="1">
      <alignment vertical="top"/>
    </xf>
    <xf numFmtId="49" fontId="22" fillId="0" borderId="1" xfId="1" applyNumberFormat="1" applyFont="1" applyFill="1" applyBorder="1" applyAlignment="1">
      <alignment horizontal="left" vertical="top"/>
    </xf>
    <xf numFmtId="49" fontId="22" fillId="0" borderId="2" xfId="1" applyNumberFormat="1" applyFont="1" applyFill="1" applyBorder="1" applyAlignment="1">
      <alignment horizontal="left" vertical="top"/>
    </xf>
    <xf numFmtId="1" fontId="22" fillId="0" borderId="1" xfId="1" applyNumberFormat="1" applyFont="1" applyFill="1" applyBorder="1" applyAlignment="1">
      <alignment horizontal="center" vertical="top"/>
    </xf>
    <xf numFmtId="1" fontId="22" fillId="0" borderId="2" xfId="1" applyNumberFormat="1" applyFont="1" applyFill="1" applyBorder="1" applyAlignment="1">
      <alignment horizontal="center" vertical="top"/>
    </xf>
    <xf numFmtId="1" fontId="22" fillId="0" borderId="3" xfId="1" applyNumberFormat="1" applyFont="1" applyFill="1" applyBorder="1" applyAlignment="1">
      <alignment horizontal="center" vertical="top"/>
    </xf>
    <xf numFmtId="3" fontId="22" fillId="0" borderId="1" xfId="1" applyNumberFormat="1" applyFont="1" applyFill="1" applyBorder="1" applyAlignment="1">
      <alignment horizontal="center" vertical="top"/>
    </xf>
    <xf numFmtId="3" fontId="22" fillId="0" borderId="2" xfId="1" applyNumberFormat="1" applyFont="1" applyFill="1" applyBorder="1" applyAlignment="1">
      <alignment horizontal="center" vertical="top"/>
    </xf>
    <xf numFmtId="1" fontId="10" fillId="0" borderId="5" xfId="1" applyNumberFormat="1" applyFont="1" applyFill="1" applyBorder="1" applyAlignment="1">
      <alignment horizontal="center" vertical="top"/>
    </xf>
    <xf numFmtId="49" fontId="10" fillId="13" borderId="1" xfId="1" applyNumberFormat="1" applyFont="1" applyFill="1" applyBorder="1" applyAlignment="1">
      <alignment horizontal="left" vertical="top"/>
    </xf>
    <xf numFmtId="49" fontId="10" fillId="13" borderId="2" xfId="1" applyNumberFormat="1" applyFont="1" applyFill="1" applyBorder="1" applyAlignment="1">
      <alignment horizontal="left" vertical="top"/>
    </xf>
    <xf numFmtId="1" fontId="12" fillId="0" borderId="1" xfId="1" applyNumberFormat="1" applyFont="1" applyFill="1" applyBorder="1" applyAlignment="1">
      <alignment horizontal="center" vertical="top" wrapText="1"/>
    </xf>
    <xf numFmtId="1" fontId="12" fillId="0" borderId="2" xfId="1" applyNumberFormat="1" applyFont="1" applyFill="1" applyBorder="1" applyAlignment="1">
      <alignment horizontal="center" vertical="top" wrapText="1"/>
    </xf>
    <xf numFmtId="1" fontId="12" fillId="0" borderId="5" xfId="1" applyNumberFormat="1" applyFont="1" applyFill="1" applyBorder="1" applyAlignment="1">
      <alignment horizontal="center" vertical="top" wrapText="1"/>
    </xf>
    <xf numFmtId="3" fontId="1" fillId="0" borderId="36" xfId="1" applyNumberFormat="1" applyFont="1" applyFill="1" applyBorder="1" applyAlignment="1">
      <alignment horizontal="center" vertical="top"/>
    </xf>
    <xf numFmtId="1" fontId="12" fillId="0" borderId="22" xfId="1" applyNumberFormat="1" applyFont="1" applyFill="1" applyBorder="1" applyAlignment="1">
      <alignment horizontal="center" vertical="top"/>
    </xf>
    <xf numFmtId="1" fontId="12" fillId="0" borderId="23" xfId="1" applyNumberFormat="1" applyFont="1" applyFill="1" applyBorder="1" applyAlignment="1">
      <alignment horizontal="center" vertical="top"/>
    </xf>
    <xf numFmtId="1" fontId="12" fillId="0" borderId="44" xfId="1" applyNumberFormat="1" applyFont="1" applyFill="1" applyBorder="1" applyAlignment="1">
      <alignment horizontal="center" vertical="top"/>
    </xf>
    <xf numFmtId="1" fontId="12" fillId="0" borderId="4" xfId="1" applyNumberFormat="1" applyFont="1" applyFill="1" applyBorder="1" applyAlignment="1">
      <alignment horizontal="center" vertical="top"/>
    </xf>
    <xf numFmtId="1" fontId="12" fillId="0" borderId="38" xfId="1" applyNumberFormat="1" applyFont="1" applyFill="1" applyBorder="1" applyAlignment="1">
      <alignment horizontal="center" vertical="top"/>
    </xf>
    <xf numFmtId="3" fontId="22" fillId="0" borderId="3" xfId="1" applyNumberFormat="1" applyFont="1" applyFill="1" applyBorder="1" applyAlignment="1">
      <alignment horizontal="center" vertical="top"/>
    </xf>
    <xf numFmtId="1" fontId="23" fillId="0" borderId="1" xfId="1" applyNumberFormat="1" applyFont="1" applyFill="1" applyBorder="1" applyAlignment="1">
      <alignment horizontal="center" vertical="top"/>
    </xf>
    <xf numFmtId="1" fontId="23" fillId="0" borderId="2" xfId="1" applyNumberFormat="1" applyFont="1" applyFill="1" applyBorder="1" applyAlignment="1">
      <alignment horizontal="center" vertical="top"/>
    </xf>
    <xf numFmtId="1" fontId="23" fillId="0" borderId="5" xfId="1" applyNumberFormat="1" applyFont="1" applyFill="1" applyBorder="1" applyAlignment="1">
      <alignment horizontal="center" vertical="top"/>
    </xf>
    <xf numFmtId="1" fontId="12" fillId="19" borderId="1" xfId="1" applyNumberFormat="1" applyFont="1" applyFill="1" applyBorder="1" applyAlignment="1">
      <alignment horizontal="center" vertical="top" wrapText="1"/>
    </xf>
    <xf numFmtId="1" fontId="12" fillId="19" borderId="2" xfId="1" applyNumberFormat="1" applyFont="1" applyFill="1" applyBorder="1" applyAlignment="1">
      <alignment horizontal="center" vertical="top" wrapText="1"/>
    </xf>
    <xf numFmtId="1" fontId="12" fillId="19" borderId="5" xfId="1" applyNumberFormat="1" applyFont="1" applyFill="1" applyBorder="1" applyAlignment="1">
      <alignment horizontal="center" vertical="top" wrapText="1"/>
    </xf>
    <xf numFmtId="1" fontId="12" fillId="19" borderId="1" xfId="1" applyNumberFormat="1" applyFont="1" applyFill="1" applyBorder="1" applyAlignment="1">
      <alignment horizontal="center" vertical="top"/>
    </xf>
    <xf numFmtId="1" fontId="12" fillId="19" borderId="2" xfId="1" applyNumberFormat="1" applyFont="1" applyFill="1" applyBorder="1" applyAlignment="1">
      <alignment horizontal="center" vertical="top"/>
    </xf>
    <xf numFmtId="1" fontId="12" fillId="19" borderId="5" xfId="1" applyNumberFormat="1" applyFont="1" applyFill="1" applyBorder="1" applyAlignment="1">
      <alignment horizontal="center" vertical="top"/>
    </xf>
    <xf numFmtId="1" fontId="12" fillId="0" borderId="10" xfId="1" applyNumberFormat="1" applyFont="1" applyFill="1" applyBorder="1" applyAlignment="1">
      <alignment horizontal="center" vertical="top"/>
    </xf>
    <xf numFmtId="1" fontId="12" fillId="0" borderId="27" xfId="1" applyNumberFormat="1" applyFont="1" applyFill="1" applyBorder="1" applyAlignment="1">
      <alignment horizontal="center" vertical="top"/>
    </xf>
    <xf numFmtId="1" fontId="12" fillId="0" borderId="13" xfId="1" applyNumberFormat="1" applyFont="1" applyFill="1" applyBorder="1" applyAlignment="1">
      <alignment horizontal="center" vertical="top"/>
    </xf>
    <xf numFmtId="1" fontId="12" fillId="13" borderId="1" xfId="1" applyNumberFormat="1" applyFont="1" applyFill="1" applyBorder="1" applyAlignment="1">
      <alignment horizontal="center" vertical="top" wrapText="1"/>
    </xf>
    <xf numFmtId="1" fontId="12" fillId="13" borderId="2" xfId="1" applyNumberFormat="1" applyFont="1" applyFill="1" applyBorder="1" applyAlignment="1">
      <alignment horizontal="center" vertical="top" wrapText="1"/>
    </xf>
    <xf numFmtId="1" fontId="12" fillId="13" borderId="5" xfId="1" applyNumberFormat="1" applyFont="1" applyFill="1" applyBorder="1" applyAlignment="1">
      <alignment horizontal="center" vertical="top" wrapText="1"/>
    </xf>
    <xf numFmtId="3" fontId="1" fillId="0" borderId="49" xfId="1" applyNumberFormat="1" applyFont="1" applyFill="1" applyBorder="1" applyAlignment="1">
      <alignment horizontal="center" vertical="top"/>
    </xf>
    <xf numFmtId="3" fontId="1" fillId="0" borderId="15" xfId="1" applyNumberFormat="1" applyFont="1" applyFill="1" applyBorder="1" applyAlignment="1">
      <alignment horizontal="center" vertical="top"/>
    </xf>
    <xf numFmtId="49" fontId="10" fillId="0" borderId="1" xfId="1" applyNumberFormat="1" applyFont="1" applyBorder="1" applyAlignment="1">
      <alignment horizontal="left" vertical="top"/>
    </xf>
    <xf numFmtId="49" fontId="10" fillId="0" borderId="2" xfId="1" applyNumberFormat="1" applyFont="1" applyBorder="1" applyAlignment="1">
      <alignment horizontal="left" vertical="top"/>
    </xf>
    <xf numFmtId="49" fontId="10" fillId="0" borderId="19" xfId="1" applyNumberFormat="1" applyFont="1" applyFill="1" applyBorder="1" applyAlignment="1">
      <alignment vertical="top"/>
    </xf>
    <xf numFmtId="1" fontId="10" fillId="0" borderId="19" xfId="1" applyNumberFormat="1" applyFont="1" applyFill="1" applyBorder="1" applyAlignment="1">
      <alignment horizontal="center" vertical="top"/>
    </xf>
    <xf numFmtId="1" fontId="12" fillId="19" borderId="49" xfId="1" applyNumberFormat="1" applyFont="1" applyFill="1" applyBorder="1" applyAlignment="1">
      <alignment horizontal="center" vertical="center"/>
    </xf>
    <xf numFmtId="1" fontId="12" fillId="19" borderId="15" xfId="1" applyNumberFormat="1" applyFont="1" applyFill="1" applyBorder="1" applyAlignment="1">
      <alignment horizontal="center" vertical="center"/>
    </xf>
    <xf numFmtId="1" fontId="12" fillId="19" borderId="51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top"/>
    </xf>
    <xf numFmtId="1" fontId="10" fillId="0" borderId="49" xfId="1" applyNumberFormat="1" applyFont="1" applyFill="1" applyBorder="1" applyAlignment="1">
      <alignment horizontal="center" vertical="top"/>
    </xf>
    <xf numFmtId="0" fontId="10" fillId="0" borderId="15" xfId="1" applyFont="1" applyFill="1" applyBorder="1" applyAlignment="1">
      <alignment horizontal="center" vertical="top"/>
    </xf>
    <xf numFmtId="0" fontId="10" fillId="0" borderId="16" xfId="1" applyFont="1" applyFill="1" applyBorder="1" applyAlignment="1">
      <alignment horizontal="center" vertical="top"/>
    </xf>
    <xf numFmtId="3" fontId="1" fillId="0" borderId="16" xfId="1" applyNumberFormat="1" applyFont="1" applyFill="1" applyBorder="1" applyAlignment="1">
      <alignment horizontal="center" vertical="top"/>
    </xf>
    <xf numFmtId="1" fontId="12" fillId="19" borderId="49" xfId="1" applyNumberFormat="1" applyFont="1" applyFill="1" applyBorder="1" applyAlignment="1">
      <alignment horizontal="center" vertical="top"/>
    </xf>
    <xf numFmtId="1" fontId="12" fillId="19" borderId="15" xfId="1" applyNumberFormat="1" applyFont="1" applyFill="1" applyBorder="1" applyAlignment="1">
      <alignment horizontal="center" vertical="top"/>
    </xf>
    <xf numFmtId="1" fontId="12" fillId="19" borderId="51" xfId="1" applyNumberFormat="1" applyFont="1" applyFill="1" applyBorder="1" applyAlignment="1">
      <alignment horizontal="center" vertical="top"/>
    </xf>
    <xf numFmtId="49" fontId="10" fillId="18" borderId="1" xfId="1" applyNumberFormat="1" applyFont="1" applyFill="1" applyBorder="1" applyAlignment="1">
      <alignment vertical="top" wrapText="1"/>
    </xf>
    <xf numFmtId="0" fontId="10" fillId="18" borderId="2" xfId="1" applyFont="1" applyFill="1" applyBorder="1" applyAlignment="1">
      <alignment vertical="top" wrapText="1"/>
    </xf>
    <xf numFmtId="0" fontId="10" fillId="18" borderId="3" xfId="1" applyFont="1" applyFill="1" applyBorder="1" applyAlignment="1">
      <alignment vertical="top" wrapText="1"/>
    </xf>
    <xf numFmtId="3" fontId="1" fillId="4" borderId="19" xfId="1" applyNumberFormat="1" applyFont="1" applyFill="1" applyBorder="1" applyAlignment="1">
      <alignment horizontal="center" vertical="top"/>
    </xf>
    <xf numFmtId="1" fontId="12" fillId="4" borderId="19" xfId="1" applyNumberFormat="1" applyFont="1" applyFill="1" applyBorder="1" applyAlignment="1">
      <alignment horizontal="center" vertical="top"/>
    </xf>
    <xf numFmtId="1" fontId="12" fillId="4" borderId="25" xfId="1" applyNumberFormat="1" applyFont="1" applyFill="1" applyBorder="1" applyAlignment="1">
      <alignment horizontal="center" vertical="top"/>
    </xf>
    <xf numFmtId="1" fontId="10" fillId="0" borderId="54" xfId="1" applyNumberFormat="1" applyFont="1" applyFill="1" applyBorder="1" applyAlignment="1">
      <alignment horizontal="center" vertical="top"/>
    </xf>
    <xf numFmtId="1" fontId="10" fillId="0" borderId="53" xfId="1" applyNumberFormat="1" applyFont="1" applyFill="1" applyBorder="1" applyAlignment="1">
      <alignment horizontal="center" vertical="top"/>
    </xf>
    <xf numFmtId="49" fontId="10" fillId="4" borderId="4" xfId="1" applyNumberFormat="1" applyFont="1" applyFill="1" applyBorder="1" applyAlignment="1">
      <alignment horizontal="left" vertical="top" wrapText="1"/>
    </xf>
    <xf numFmtId="1" fontId="10" fillId="4" borderId="4" xfId="1" applyNumberFormat="1" applyFont="1" applyFill="1" applyBorder="1" applyAlignment="1">
      <alignment horizontal="center" vertical="top"/>
    </xf>
    <xf numFmtId="3" fontId="1" fillId="4" borderId="4" xfId="1" applyNumberFormat="1" applyFont="1" applyFill="1" applyBorder="1" applyAlignment="1">
      <alignment horizontal="center" vertical="top"/>
    </xf>
    <xf numFmtId="1" fontId="12" fillId="4" borderId="4" xfId="1" applyNumberFormat="1" applyFont="1" applyFill="1" applyBorder="1" applyAlignment="1">
      <alignment horizontal="center" vertical="center"/>
    </xf>
    <xf numFmtId="1" fontId="12" fillId="4" borderId="38" xfId="1" applyNumberFormat="1" applyFont="1" applyFill="1" applyBorder="1" applyAlignment="1">
      <alignment horizontal="center" vertical="center"/>
    </xf>
    <xf numFmtId="49" fontId="12" fillId="4" borderId="35" xfId="1" applyNumberFormat="1" applyFont="1" applyFill="1" applyBorder="1" applyAlignment="1">
      <alignment horizontal="center" vertical="top" wrapText="1"/>
    </xf>
    <xf numFmtId="49" fontId="12" fillId="4" borderId="24" xfId="1" applyNumberFormat="1" applyFont="1" applyFill="1" applyBorder="1" applyAlignment="1">
      <alignment horizontal="center" vertical="top" wrapText="1"/>
    </xf>
    <xf numFmtId="49" fontId="12" fillId="4" borderId="21" xfId="1" applyNumberFormat="1" applyFont="1" applyFill="1" applyBorder="1" applyAlignment="1">
      <alignment horizontal="center" vertical="top" wrapText="1"/>
    </xf>
    <xf numFmtId="49" fontId="12" fillId="4" borderId="37" xfId="1" applyNumberFormat="1" applyFont="1" applyFill="1" applyBorder="1" applyAlignment="1">
      <alignment horizontal="center" vertical="top" wrapText="1"/>
    </xf>
    <xf numFmtId="49" fontId="12" fillId="4" borderId="0" xfId="1" applyNumberFormat="1" applyFont="1" applyFill="1" applyBorder="1" applyAlignment="1">
      <alignment horizontal="center" vertical="top" wrapText="1"/>
    </xf>
    <xf numFmtId="49" fontId="12" fillId="4" borderId="14" xfId="1" applyNumberFormat="1" applyFont="1" applyFill="1" applyBorder="1" applyAlignment="1">
      <alignment horizontal="center" vertical="top" wrapText="1"/>
    </xf>
    <xf numFmtId="49" fontId="12" fillId="4" borderId="39" xfId="1" applyNumberFormat="1" applyFont="1" applyFill="1" applyBorder="1" applyAlignment="1">
      <alignment horizontal="center" vertical="top" wrapText="1"/>
    </xf>
    <xf numFmtId="49" fontId="12" fillId="4" borderId="40" xfId="1" applyNumberFormat="1" applyFont="1" applyFill="1" applyBorder="1" applyAlignment="1">
      <alignment horizontal="center" vertical="top" wrapText="1"/>
    </xf>
    <xf numFmtId="49" fontId="12" fillId="4" borderId="41" xfId="1" applyNumberFormat="1" applyFont="1" applyFill="1" applyBorder="1" applyAlignment="1">
      <alignment horizontal="center" vertical="top" wrapText="1"/>
    </xf>
    <xf numFmtId="49" fontId="10" fillId="4" borderId="20" xfId="1" applyNumberFormat="1" applyFont="1" applyFill="1" applyBorder="1" applyAlignment="1">
      <alignment horizontal="center" vertical="top"/>
    </xf>
    <xf numFmtId="49" fontId="10" fillId="4" borderId="24" xfId="1" applyNumberFormat="1" applyFont="1" applyFill="1" applyBorder="1" applyAlignment="1">
      <alignment horizontal="center" vertical="top"/>
    </xf>
    <xf numFmtId="49" fontId="10" fillId="4" borderId="21" xfId="1" applyNumberFormat="1" applyFont="1" applyFill="1" applyBorder="1" applyAlignment="1">
      <alignment horizontal="center" vertical="top"/>
    </xf>
    <xf numFmtId="49" fontId="10" fillId="4" borderId="17" xfId="1" applyNumberFormat="1" applyFont="1" applyFill="1" applyBorder="1" applyAlignment="1">
      <alignment horizontal="center" vertical="top"/>
    </xf>
    <xf numFmtId="49" fontId="10" fillId="4" borderId="0" xfId="1" applyNumberFormat="1" applyFont="1" applyFill="1" applyBorder="1" applyAlignment="1">
      <alignment horizontal="center" vertical="top"/>
    </xf>
    <xf numFmtId="49" fontId="10" fillId="4" borderId="14" xfId="1" applyNumberFormat="1" applyFont="1" applyFill="1" applyBorder="1" applyAlignment="1">
      <alignment horizontal="center" vertical="top"/>
    </xf>
    <xf numFmtId="49" fontId="10" fillId="4" borderId="42" xfId="1" applyNumberFormat="1" applyFont="1" applyFill="1" applyBorder="1" applyAlignment="1">
      <alignment horizontal="center" vertical="top"/>
    </xf>
    <xf numFmtId="49" fontId="10" fillId="4" borderId="40" xfId="1" applyNumberFormat="1" applyFont="1" applyFill="1" applyBorder="1" applyAlignment="1">
      <alignment horizontal="center" vertical="top"/>
    </xf>
    <xf numFmtId="49" fontId="10" fillId="4" borderId="41" xfId="1" applyNumberFormat="1" applyFont="1" applyFill="1" applyBorder="1" applyAlignment="1">
      <alignment horizontal="center" vertical="top"/>
    </xf>
    <xf numFmtId="49" fontId="10" fillId="4" borderId="19" xfId="1" applyNumberFormat="1" applyFont="1" applyFill="1" applyBorder="1" applyAlignment="1">
      <alignment horizontal="left" vertical="top" wrapText="1"/>
    </xf>
    <xf numFmtId="1" fontId="10" fillId="4" borderId="19" xfId="1" applyNumberFormat="1" applyFont="1" applyFill="1" applyBorder="1" applyAlignment="1">
      <alignment horizontal="center" vertical="top"/>
    </xf>
    <xf numFmtId="49" fontId="10" fillId="4" borderId="46" xfId="1" applyNumberFormat="1" applyFont="1" applyFill="1" applyBorder="1" applyAlignment="1">
      <alignment horizontal="left" vertical="top" wrapText="1"/>
    </xf>
    <xf numFmtId="1" fontId="10" fillId="4" borderId="46" xfId="1" applyNumberFormat="1" applyFont="1" applyFill="1" applyBorder="1" applyAlignment="1">
      <alignment horizontal="center" vertical="top"/>
    </xf>
    <xf numFmtId="3" fontId="1" fillId="4" borderId="46" xfId="1" applyNumberFormat="1" applyFont="1" applyFill="1" applyBorder="1" applyAlignment="1">
      <alignment horizontal="center" vertical="top"/>
    </xf>
    <xf numFmtId="1" fontId="12" fillId="4" borderId="46" xfId="1" applyNumberFormat="1" applyFont="1" applyFill="1" applyBorder="1" applyAlignment="1">
      <alignment horizontal="center" vertical="center"/>
    </xf>
    <xf numFmtId="1" fontId="12" fillId="4" borderId="50" xfId="1" applyNumberFormat="1" applyFont="1" applyFill="1" applyBorder="1" applyAlignment="1">
      <alignment horizontal="center" vertical="center"/>
    </xf>
    <xf numFmtId="169" fontId="8" fillId="0" borderId="0" xfId="1" applyNumberFormat="1" applyFont="1" applyAlignment="1">
      <alignment horizontal="center" vertical="center"/>
    </xf>
    <xf numFmtId="169" fontId="18" fillId="0" borderId="0" xfId="1" applyNumberFormat="1" applyFont="1" applyAlignment="1">
      <alignment horizontal="center" vertical="center"/>
    </xf>
    <xf numFmtId="3" fontId="12" fillId="13" borderId="0" xfId="1" applyNumberFormat="1" applyFont="1" applyFill="1" applyBorder="1" applyAlignment="1">
      <alignment horizontal="center" vertical="top" textRotation="90"/>
    </xf>
    <xf numFmtId="168" fontId="10" fillId="0" borderId="0" xfId="1" applyNumberFormat="1" applyFont="1" applyAlignment="1">
      <alignment horizontal="center" vertical="center"/>
    </xf>
    <xf numFmtId="169" fontId="14" fillId="0" borderId="0" xfId="1" applyNumberFormat="1" applyFont="1" applyAlignment="1">
      <alignment horizontal="center" vertical="center"/>
    </xf>
    <xf numFmtId="168" fontId="8" fillId="0" borderId="0" xfId="1" applyNumberFormat="1" applyFont="1" applyAlignment="1">
      <alignment horizontal="center" vertical="center"/>
    </xf>
    <xf numFmtId="1" fontId="8" fillId="0" borderId="0" xfId="1" applyNumberFormat="1" applyFont="1" applyAlignment="1">
      <alignment horizontal="center" vertical="center"/>
    </xf>
    <xf numFmtId="1" fontId="10" fillId="0" borderId="52" xfId="1" applyNumberFormat="1" applyFont="1" applyBorder="1" applyAlignment="1">
      <alignment horizontal="center" vertical="center"/>
    </xf>
    <xf numFmtId="1" fontId="10" fillId="0" borderId="53" xfId="1" applyNumberFormat="1" applyFont="1" applyBorder="1" applyAlignment="1">
      <alignment horizontal="center" vertical="center"/>
    </xf>
    <xf numFmtId="3" fontId="1" fillId="0" borderId="42" xfId="1" applyNumberFormat="1" applyFont="1" applyBorder="1" applyAlignment="1">
      <alignment horizontal="center" vertical="center"/>
    </xf>
    <xf numFmtId="3" fontId="1" fillId="0" borderId="40" xfId="1" applyNumberFormat="1" applyFont="1" applyBorder="1" applyAlignment="1">
      <alignment horizontal="center" vertical="center"/>
    </xf>
    <xf numFmtId="3" fontId="1" fillId="13" borderId="42" xfId="1" applyNumberFormat="1" applyFont="1" applyFill="1" applyBorder="1" applyAlignment="1">
      <alignment horizontal="center" vertical="center"/>
    </xf>
    <xf numFmtId="3" fontId="1" fillId="13" borderId="40" xfId="1" applyNumberFormat="1" applyFont="1" applyFill="1" applyBorder="1" applyAlignment="1">
      <alignment horizontal="center" vertical="center"/>
    </xf>
    <xf numFmtId="3" fontId="1" fillId="13" borderId="45" xfId="1" applyNumberFormat="1" applyFont="1" applyFill="1" applyBorder="1" applyAlignment="1">
      <alignment horizontal="center" vertical="center"/>
    </xf>
    <xf numFmtId="1" fontId="10" fillId="0" borderId="14" xfId="1" applyNumberFormat="1" applyFont="1" applyFill="1" applyBorder="1" applyAlignment="1">
      <alignment horizontal="center" vertical="center"/>
    </xf>
    <xf numFmtId="1" fontId="10" fillId="0" borderId="8" xfId="1" applyNumberFormat="1" applyFont="1" applyFill="1" applyBorder="1" applyAlignment="1">
      <alignment horizontal="center" vertical="center"/>
    </xf>
    <xf numFmtId="1" fontId="10" fillId="0" borderId="17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top"/>
    </xf>
    <xf numFmtId="49" fontId="12" fillId="0" borderId="2" xfId="1" applyNumberFormat="1" applyFont="1" applyFill="1" applyBorder="1" applyAlignment="1">
      <alignment horizontal="center" vertical="top"/>
    </xf>
    <xf numFmtId="49" fontId="12" fillId="0" borderId="5" xfId="1" applyNumberFormat="1" applyFont="1" applyFill="1" applyBorder="1" applyAlignment="1">
      <alignment horizontal="center" vertical="top"/>
    </xf>
    <xf numFmtId="1" fontId="12" fillId="13" borderId="1" xfId="1" applyNumberFormat="1" applyFont="1" applyFill="1" applyBorder="1" applyAlignment="1">
      <alignment horizontal="center" vertical="top"/>
    </xf>
    <xf numFmtId="1" fontId="12" fillId="13" borderId="2" xfId="1" applyNumberFormat="1" applyFont="1" applyFill="1" applyBorder="1" applyAlignment="1">
      <alignment horizontal="center" vertical="top"/>
    </xf>
    <xf numFmtId="1" fontId="12" fillId="13" borderId="5" xfId="1" applyNumberFormat="1" applyFont="1" applyFill="1" applyBorder="1" applyAlignment="1">
      <alignment horizontal="center" vertical="top"/>
    </xf>
    <xf numFmtId="49" fontId="10" fillId="5" borderId="1" xfId="1" applyNumberFormat="1" applyFont="1" applyFill="1" applyBorder="1" applyAlignment="1">
      <alignment vertical="top"/>
    </xf>
    <xf numFmtId="0" fontId="10" fillId="5" borderId="2" xfId="1" applyFont="1" applyFill="1" applyBorder="1" applyAlignment="1">
      <alignment vertical="top"/>
    </xf>
    <xf numFmtId="0" fontId="10" fillId="5" borderId="3" xfId="1" applyFont="1" applyFill="1" applyBorder="1" applyAlignment="1">
      <alignment vertical="top"/>
    </xf>
    <xf numFmtId="49" fontId="10" fillId="5" borderId="17" xfId="1" applyNumberFormat="1" applyFont="1" applyFill="1" applyBorder="1" applyAlignment="1">
      <alignment vertical="top"/>
    </xf>
    <xf numFmtId="0" fontId="10" fillId="5" borderId="0" xfId="1" applyFont="1" applyFill="1" applyBorder="1" applyAlignment="1">
      <alignment vertical="top"/>
    </xf>
    <xf numFmtId="0" fontId="10" fillId="5" borderId="14" xfId="1" applyFont="1" applyFill="1" applyBorder="1" applyAlignment="1">
      <alignment vertical="top"/>
    </xf>
    <xf numFmtId="49" fontId="10" fillId="5" borderId="36" xfId="1" applyNumberFormat="1" applyFont="1" applyFill="1" applyBorder="1" applyAlignment="1">
      <alignment vertical="top"/>
    </xf>
    <xf numFmtId="49" fontId="10" fillId="5" borderId="19" xfId="1" applyNumberFormat="1" applyFont="1" applyFill="1" applyBorder="1" applyAlignment="1">
      <alignment vertical="top"/>
    </xf>
    <xf numFmtId="49" fontId="10" fillId="5" borderId="3" xfId="1" applyNumberFormat="1" applyFont="1" applyFill="1" applyBorder="1" applyAlignment="1">
      <alignment vertical="top"/>
    </xf>
    <xf numFmtId="49" fontId="10" fillId="5" borderId="12" xfId="1" applyNumberFormat="1" applyFont="1" applyFill="1" applyBorder="1" applyAlignment="1">
      <alignment vertical="top"/>
    </xf>
    <xf numFmtId="49" fontId="10" fillId="5" borderId="6" xfId="1" applyNumberFormat="1" applyFont="1" applyFill="1" applyBorder="1" applyAlignment="1">
      <alignment vertical="top"/>
    </xf>
    <xf numFmtId="49" fontId="10" fillId="17" borderId="9" xfId="1" applyNumberFormat="1" applyFont="1" applyFill="1" applyBorder="1" applyAlignment="1">
      <alignment vertical="top"/>
    </xf>
    <xf numFmtId="49" fontId="10" fillId="5" borderId="2" xfId="1" applyNumberFormat="1" applyFont="1" applyFill="1" applyBorder="1" applyAlignment="1">
      <alignment vertical="top"/>
    </xf>
    <xf numFmtId="49" fontId="10" fillId="5" borderId="3" xfId="1" applyNumberFormat="1" applyFont="1" applyFill="1" applyBorder="1" applyAlignment="1">
      <alignment vertical="top"/>
    </xf>
    <xf numFmtId="49" fontId="10" fillId="17" borderId="8" xfId="1" applyNumberFormat="1" applyFont="1" applyFill="1" applyBorder="1" applyAlignment="1">
      <alignment vertical="top"/>
    </xf>
    <xf numFmtId="49" fontId="10" fillId="0" borderId="49" xfId="1" applyNumberFormat="1" applyFont="1" applyFill="1" applyBorder="1" applyAlignment="1">
      <alignment horizontal="left" vertical="center" wrapText="1"/>
    </xf>
    <xf numFmtId="49" fontId="10" fillId="0" borderId="15" xfId="1" applyNumberFormat="1" applyFont="1" applyFill="1" applyBorder="1" applyAlignment="1">
      <alignment horizontal="left" vertical="center" wrapText="1"/>
    </xf>
    <xf numFmtId="49" fontId="10" fillId="0" borderId="16" xfId="1" applyNumberFormat="1" applyFont="1" applyFill="1" applyBorder="1" applyAlignment="1">
      <alignment horizontal="left" vertical="center" wrapText="1"/>
    </xf>
    <xf numFmtId="1" fontId="12" fillId="0" borderId="49" xfId="1" applyNumberFormat="1" applyFont="1" applyFill="1" applyBorder="1" applyAlignment="1">
      <alignment horizontal="left" vertical="center"/>
    </xf>
    <xf numFmtId="1" fontId="12" fillId="0" borderId="15" xfId="1" applyNumberFormat="1" applyFont="1" applyFill="1" applyBorder="1" applyAlignment="1">
      <alignment horizontal="left" vertical="center"/>
    </xf>
    <xf numFmtId="1" fontId="12" fillId="0" borderId="51" xfId="1" applyNumberFormat="1" applyFont="1" applyFill="1" applyBorder="1" applyAlignment="1">
      <alignment horizontal="left" vertical="center"/>
    </xf>
    <xf numFmtId="49" fontId="10" fillId="0" borderId="22" xfId="1" applyNumberFormat="1" applyFont="1" applyFill="1" applyBorder="1" applyAlignment="1">
      <alignment horizontal="left" vertical="top"/>
    </xf>
    <xf numFmtId="0" fontId="10" fillId="0" borderId="23" xfId="1" applyFont="1" applyFill="1" applyBorder="1" applyAlignment="1">
      <alignment horizontal="left" vertical="top"/>
    </xf>
    <xf numFmtId="0" fontId="10" fillId="0" borderId="36" xfId="1" applyFont="1" applyFill="1" applyBorder="1" applyAlignment="1">
      <alignment horizontal="left" vertical="top"/>
    </xf>
    <xf numFmtId="1" fontId="12" fillId="0" borderId="22" xfId="1" applyNumberFormat="1" applyFont="1" applyFill="1" applyBorder="1" applyAlignment="1">
      <alignment horizontal="left" vertical="top"/>
    </xf>
    <xf numFmtId="1" fontId="12" fillId="0" borderId="23" xfId="1" applyNumberFormat="1" applyFont="1" applyFill="1" applyBorder="1" applyAlignment="1">
      <alignment horizontal="left" vertical="top"/>
    </xf>
    <xf numFmtId="1" fontId="12" fillId="0" borderId="44" xfId="1" applyNumberFormat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top"/>
    </xf>
    <xf numFmtId="1" fontId="10" fillId="0" borderId="1" xfId="1" applyNumberFormat="1" applyFont="1" applyFill="1" applyBorder="1" applyAlignment="1">
      <alignment horizontal="left" vertical="top"/>
    </xf>
    <xf numFmtId="1" fontId="10" fillId="0" borderId="2" xfId="1" applyNumberFormat="1" applyFont="1" applyFill="1" applyBorder="1" applyAlignment="1">
      <alignment horizontal="left" vertical="top"/>
    </xf>
    <xf numFmtId="1" fontId="12" fillId="0" borderId="4" xfId="1" applyNumberFormat="1" applyFont="1" applyFill="1" applyBorder="1" applyAlignment="1">
      <alignment horizontal="left" vertical="top"/>
    </xf>
    <xf numFmtId="1" fontId="12" fillId="0" borderId="38" xfId="1" applyNumberFormat="1" applyFont="1" applyFill="1" applyBorder="1" applyAlignment="1">
      <alignment horizontal="left" vertical="top"/>
    </xf>
    <xf numFmtId="1" fontId="12" fillId="0" borderId="1" xfId="1" applyNumberFormat="1" applyFont="1" applyFill="1" applyBorder="1" applyAlignment="1">
      <alignment horizontal="left" vertical="top" wrapText="1"/>
    </xf>
    <xf numFmtId="1" fontId="12" fillId="0" borderId="2" xfId="1" applyNumberFormat="1" applyFont="1" applyFill="1" applyBorder="1" applyAlignment="1">
      <alignment horizontal="left" vertical="top" wrapText="1"/>
    </xf>
    <xf numFmtId="1" fontId="12" fillId="0" borderId="5" xfId="1" applyNumberFormat="1" applyFont="1" applyFill="1" applyBorder="1" applyAlignment="1">
      <alignment horizontal="left" vertical="top" wrapText="1"/>
    </xf>
    <xf numFmtId="1" fontId="10" fillId="0" borderId="5" xfId="1" applyNumberFormat="1" applyFont="1" applyFill="1" applyBorder="1" applyAlignment="1">
      <alignment horizontal="left" vertical="top"/>
    </xf>
    <xf numFmtId="0" fontId="10" fillId="0" borderId="2" xfId="1" applyFont="1" applyFill="1" applyBorder="1" applyAlignment="1">
      <alignment horizontal="left" vertical="top"/>
    </xf>
    <xf numFmtId="0" fontId="10" fillId="0" borderId="3" xfId="1" applyFont="1" applyFill="1" applyBorder="1" applyAlignment="1">
      <alignment horizontal="left" vertical="top"/>
    </xf>
    <xf numFmtId="1" fontId="12" fillId="0" borderId="1" xfId="1" applyNumberFormat="1" applyFont="1" applyFill="1" applyBorder="1" applyAlignment="1">
      <alignment horizontal="left" vertical="top"/>
    </xf>
    <xf numFmtId="1" fontId="12" fillId="0" borderId="2" xfId="1" applyNumberFormat="1" applyFont="1" applyFill="1" applyBorder="1" applyAlignment="1">
      <alignment horizontal="left" vertical="top"/>
    </xf>
    <xf numFmtId="1" fontId="12" fillId="0" borderId="5" xfId="1" applyNumberFormat="1" applyFont="1" applyFill="1" applyBorder="1" applyAlignment="1">
      <alignment horizontal="left" vertical="top"/>
    </xf>
    <xf numFmtId="1" fontId="12" fillId="0" borderId="10" xfId="1" applyNumberFormat="1" applyFont="1" applyFill="1" applyBorder="1" applyAlignment="1">
      <alignment horizontal="left" vertical="top"/>
    </xf>
    <xf numFmtId="1" fontId="12" fillId="0" borderId="27" xfId="1" applyNumberFormat="1" applyFont="1" applyFill="1" applyBorder="1" applyAlignment="1">
      <alignment horizontal="left" vertical="top"/>
    </xf>
    <xf numFmtId="1" fontId="12" fillId="0" borderId="13" xfId="1" applyNumberFormat="1" applyFont="1" applyFill="1" applyBorder="1" applyAlignment="1">
      <alignment horizontal="left" vertical="top"/>
    </xf>
    <xf numFmtId="1" fontId="23" fillId="0" borderId="1" xfId="1" applyNumberFormat="1" applyFont="1" applyFill="1" applyBorder="1" applyAlignment="1">
      <alignment horizontal="left" vertical="top"/>
    </xf>
    <xf numFmtId="1" fontId="23" fillId="0" borderId="2" xfId="1" applyNumberFormat="1" applyFont="1" applyFill="1" applyBorder="1" applyAlignment="1">
      <alignment horizontal="left" vertical="top"/>
    </xf>
    <xf numFmtId="1" fontId="23" fillId="0" borderId="5" xfId="1" applyNumberFormat="1" applyFont="1" applyFill="1" applyBorder="1" applyAlignment="1">
      <alignment horizontal="left" vertical="top"/>
    </xf>
    <xf numFmtId="1" fontId="12" fillId="0" borderId="49" xfId="1" applyNumberFormat="1" applyFont="1" applyFill="1" applyBorder="1" applyAlignment="1">
      <alignment horizontal="left" vertical="top"/>
    </xf>
    <xf numFmtId="1" fontId="12" fillId="0" borderId="15" xfId="1" applyNumberFormat="1" applyFont="1" applyFill="1" applyBorder="1" applyAlignment="1">
      <alignment horizontal="left" vertical="top"/>
    </xf>
    <xf numFmtId="1" fontId="12" fillId="0" borderId="51" xfId="1" applyNumberFormat="1" applyFont="1" applyFill="1" applyBorder="1" applyAlignment="1">
      <alignment horizontal="left" vertical="top"/>
    </xf>
    <xf numFmtId="49" fontId="10" fillId="0" borderId="4" xfId="1" applyNumberFormat="1" applyFont="1" applyFill="1" applyBorder="1" applyAlignment="1">
      <alignment horizontal="left" vertical="top"/>
    </xf>
    <xf numFmtId="0" fontId="10" fillId="0" borderId="4" xfId="1" applyFont="1" applyFill="1" applyBorder="1" applyAlignment="1">
      <alignment horizontal="left" vertical="top"/>
    </xf>
    <xf numFmtId="0" fontId="10" fillId="0" borderId="4" xfId="1" applyFont="1" applyFill="1" applyBorder="1" applyAlignment="1">
      <alignment horizontal="left" vertical="top"/>
    </xf>
    <xf numFmtId="49" fontId="12" fillId="0" borderId="1" xfId="1" applyNumberFormat="1" applyFont="1" applyFill="1" applyBorder="1" applyAlignment="1">
      <alignment horizontal="left" vertical="top"/>
    </xf>
    <xf numFmtId="49" fontId="12" fillId="0" borderId="2" xfId="1" applyNumberFormat="1" applyFont="1" applyFill="1" applyBorder="1" applyAlignment="1">
      <alignment horizontal="left" vertical="top"/>
    </xf>
    <xf numFmtId="49" fontId="12" fillId="0" borderId="5" xfId="1" applyNumberFormat="1" applyFont="1" applyFill="1" applyBorder="1" applyAlignment="1">
      <alignment horizontal="left" vertical="top"/>
    </xf>
    <xf numFmtId="49" fontId="10" fillId="0" borderId="1" xfId="1" applyNumberFormat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1" fontId="12" fillId="0" borderId="1" xfId="1" applyNumberFormat="1" applyFont="1" applyFill="1" applyBorder="1" applyAlignment="1">
      <alignment horizontal="left" vertical="top"/>
    </xf>
    <xf numFmtId="1" fontId="12" fillId="0" borderId="2" xfId="1" applyNumberFormat="1" applyFont="1" applyFill="1" applyBorder="1" applyAlignment="1">
      <alignment horizontal="left" vertical="top"/>
    </xf>
    <xf numFmtId="1" fontId="12" fillId="0" borderId="5" xfId="1" applyNumberFormat="1" applyFont="1" applyFill="1" applyBorder="1" applyAlignment="1">
      <alignment horizontal="left" vertical="top"/>
    </xf>
    <xf numFmtId="49" fontId="10" fillId="0" borderId="19" xfId="1" applyNumberFormat="1" applyFont="1" applyFill="1" applyBorder="1" applyAlignment="1">
      <alignment horizontal="left" vertical="top"/>
    </xf>
    <xf numFmtId="0" fontId="10" fillId="0" borderId="2" xfId="1" applyFont="1" applyFill="1" applyBorder="1" applyAlignment="1">
      <alignment horizontal="left" vertical="top"/>
    </xf>
    <xf numFmtId="1" fontId="12" fillId="0" borderId="17" xfId="1" applyNumberFormat="1" applyFont="1" applyFill="1" applyBorder="1" applyAlignment="1">
      <alignment horizontal="left" vertical="top"/>
    </xf>
    <xf numFmtId="1" fontId="12" fillId="0" borderId="0" xfId="1" applyNumberFormat="1" applyFont="1" applyFill="1" applyBorder="1" applyAlignment="1">
      <alignment horizontal="left" vertical="top"/>
    </xf>
    <xf numFmtId="1" fontId="12" fillId="0" borderId="7" xfId="1" applyNumberFormat="1" applyFont="1" applyFill="1" applyBorder="1" applyAlignment="1">
      <alignment horizontal="left" vertical="top"/>
    </xf>
    <xf numFmtId="49" fontId="10" fillId="0" borderId="20" xfId="1" applyNumberFormat="1" applyFont="1" applyFill="1" applyBorder="1" applyAlignment="1">
      <alignment horizontal="left" vertical="top"/>
    </xf>
    <xf numFmtId="49" fontId="10" fillId="0" borderId="24" xfId="1" applyNumberFormat="1" applyFont="1" applyFill="1" applyBorder="1" applyAlignment="1">
      <alignment horizontal="left" vertical="top"/>
    </xf>
    <xf numFmtId="49" fontId="10" fillId="0" borderId="21" xfId="1" applyNumberFormat="1" applyFont="1" applyFill="1" applyBorder="1" applyAlignment="1">
      <alignment horizontal="left" vertical="top"/>
    </xf>
    <xf numFmtId="1" fontId="12" fillId="0" borderId="20" xfId="1" applyNumberFormat="1" applyFont="1" applyFill="1" applyBorder="1" applyAlignment="1">
      <alignment horizontal="left" vertical="top"/>
    </xf>
    <xf numFmtId="1" fontId="12" fillId="0" borderId="24" xfId="1" applyNumberFormat="1" applyFont="1" applyFill="1" applyBorder="1" applyAlignment="1">
      <alignment horizontal="left" vertical="top"/>
    </xf>
    <xf numFmtId="1" fontId="12" fillId="0" borderId="43" xfId="1" applyNumberFormat="1" applyFont="1" applyFill="1" applyBorder="1" applyAlignment="1">
      <alignment horizontal="left" vertical="top"/>
    </xf>
    <xf numFmtId="49" fontId="10" fillId="0" borderId="42" xfId="1" applyNumberFormat="1" applyFont="1" applyFill="1" applyBorder="1" applyAlignment="1">
      <alignment horizontal="left" vertical="top"/>
    </xf>
    <xf numFmtId="49" fontId="10" fillId="0" borderId="40" xfId="1" applyNumberFormat="1" applyFont="1" applyFill="1" applyBorder="1" applyAlignment="1">
      <alignment horizontal="left" vertical="top"/>
    </xf>
    <xf numFmtId="49" fontId="10" fillId="0" borderId="41" xfId="1" applyNumberFormat="1" applyFont="1" applyFill="1" applyBorder="1" applyAlignment="1">
      <alignment horizontal="left" vertical="top"/>
    </xf>
    <xf numFmtId="1" fontId="12" fillId="0" borderId="42" xfId="1" applyNumberFormat="1" applyFont="1" applyFill="1" applyBorder="1" applyAlignment="1">
      <alignment horizontal="left" vertical="top"/>
    </xf>
    <xf numFmtId="1" fontId="12" fillId="0" borderId="40" xfId="1" applyNumberFormat="1" applyFont="1" applyFill="1" applyBorder="1" applyAlignment="1">
      <alignment horizontal="left" vertical="top"/>
    </xf>
    <xf numFmtId="1" fontId="12" fillId="0" borderId="45" xfId="1" applyNumberFormat="1" applyFont="1" applyFill="1" applyBorder="1" applyAlignment="1">
      <alignment horizontal="left" vertical="top"/>
    </xf>
    <xf numFmtId="3" fontId="1" fillId="0" borderId="31" xfId="1" applyNumberFormat="1" applyFont="1" applyBorder="1" applyAlignment="1">
      <alignment horizontal="center" vertical="center"/>
    </xf>
    <xf numFmtId="1" fontId="10" fillId="0" borderId="56" xfId="1" applyNumberFormat="1" applyFont="1" applyFill="1" applyBorder="1" applyAlignment="1">
      <alignment horizontal="center" vertical="center"/>
    </xf>
    <xf numFmtId="1" fontId="10" fillId="0" borderId="54" xfId="1" applyNumberFormat="1" applyFont="1" applyFill="1" applyBorder="1" applyAlignment="1">
      <alignment horizontal="center" vertical="center"/>
    </xf>
    <xf numFmtId="1" fontId="10" fillId="0" borderId="20" xfId="1" applyNumberFormat="1" applyFont="1" applyFill="1" applyBorder="1" applyAlignment="1">
      <alignment horizontal="center" vertical="center"/>
    </xf>
    <xf numFmtId="3" fontId="1" fillId="0" borderId="57" xfId="1" applyNumberFormat="1" applyFont="1" applyBorder="1" applyAlignment="1">
      <alignment horizontal="center" vertical="center"/>
    </xf>
    <xf numFmtId="49" fontId="12" fillId="5" borderId="14" xfId="1" applyNumberFormat="1" applyFont="1" applyFill="1" applyBorder="1" applyAlignment="1">
      <alignment horizontal="center" vertical="top"/>
    </xf>
    <xf numFmtId="49" fontId="12" fillId="5" borderId="41" xfId="1" applyNumberFormat="1" applyFont="1" applyFill="1" applyBorder="1" applyAlignment="1">
      <alignment horizontal="center" vertical="top"/>
    </xf>
    <xf numFmtId="49" fontId="1" fillId="5" borderId="10" xfId="1" applyNumberFormat="1" applyFont="1" applyFill="1" applyBorder="1" applyAlignment="1">
      <alignment horizontal="center" vertical="center" wrapText="1"/>
    </xf>
    <xf numFmtId="49" fontId="1" fillId="5" borderId="27" xfId="1" applyNumberFormat="1" applyFont="1" applyFill="1" applyBorder="1" applyAlignment="1">
      <alignment horizontal="center" vertical="center" wrapText="1"/>
    </xf>
    <xf numFmtId="49" fontId="1" fillId="5" borderId="17" xfId="1" applyNumberFormat="1" applyFont="1" applyFill="1" applyBorder="1" applyAlignment="1">
      <alignment horizontal="center" vertical="center" wrapText="1"/>
    </xf>
    <xf numFmtId="49" fontId="1" fillId="5" borderId="49" xfId="1" applyNumberFormat="1" applyFont="1" applyFill="1" applyBorder="1" applyAlignment="1">
      <alignment horizontal="center" vertical="center" wrapText="1"/>
    </xf>
    <xf numFmtId="49" fontId="1" fillId="5" borderId="15" xfId="1" applyNumberFormat="1" applyFont="1" applyFill="1" applyBorder="1" applyAlignment="1">
      <alignment horizontal="center" vertical="center" wrapText="1"/>
    </xf>
    <xf numFmtId="49" fontId="12" fillId="17" borderId="10" xfId="1" applyNumberFormat="1" applyFont="1" applyFill="1" applyBorder="1" applyAlignment="1">
      <alignment horizontal="center" vertical="top"/>
    </xf>
    <xf numFmtId="49" fontId="12" fillId="17" borderId="27" xfId="1" applyNumberFormat="1" applyFont="1" applyFill="1" applyBorder="1" applyAlignment="1">
      <alignment horizontal="center" vertical="top"/>
    </xf>
    <xf numFmtId="49" fontId="12" fillId="17" borderId="11" xfId="1" applyNumberFormat="1" applyFont="1" applyFill="1" applyBorder="1" applyAlignment="1">
      <alignment horizontal="center" vertical="top"/>
    </xf>
    <xf numFmtId="49" fontId="12" fillId="5" borderId="17" xfId="1" applyNumberFormat="1" applyFont="1" applyFill="1" applyBorder="1" applyAlignment="1">
      <alignment horizontal="center" vertical="top"/>
    </xf>
    <xf numFmtId="49" fontId="12" fillId="5" borderId="42" xfId="1" applyNumberFormat="1" applyFont="1" applyFill="1" applyBorder="1" applyAlignment="1">
      <alignment horizontal="center" vertical="top"/>
    </xf>
    <xf numFmtId="49" fontId="12" fillId="5" borderId="49" xfId="1" applyNumberFormat="1" applyFont="1" applyFill="1" applyBorder="1" applyAlignment="1">
      <alignment horizontal="center" vertical="top"/>
    </xf>
    <xf numFmtId="49" fontId="12" fillId="5" borderId="15" xfId="1" applyNumberFormat="1" applyFont="1" applyFill="1" applyBorder="1" applyAlignment="1">
      <alignment horizontal="center" vertical="top"/>
    </xf>
    <xf numFmtId="49" fontId="12" fillId="5" borderId="16" xfId="1" applyNumberFormat="1" applyFont="1" applyFill="1" applyBorder="1" applyAlignment="1">
      <alignment horizontal="center" vertical="top"/>
    </xf>
    <xf numFmtId="49" fontId="12" fillId="17" borderId="49" xfId="1" applyNumberFormat="1" applyFont="1" applyFill="1" applyBorder="1" applyAlignment="1">
      <alignment horizontal="center" vertical="top"/>
    </xf>
    <xf numFmtId="49" fontId="12" fillId="17" borderId="15" xfId="1" applyNumberFormat="1" applyFont="1" applyFill="1" applyBorder="1" applyAlignment="1">
      <alignment horizontal="center" vertical="top"/>
    </xf>
    <xf numFmtId="49" fontId="12" fillId="17" borderId="16" xfId="1" applyNumberFormat="1" applyFont="1" applyFill="1" applyBorder="1" applyAlignment="1">
      <alignment horizontal="center" vertical="top"/>
    </xf>
    <xf numFmtId="49" fontId="12" fillId="5" borderId="10" xfId="1" applyNumberFormat="1" applyFont="1" applyFill="1" applyBorder="1" applyAlignment="1">
      <alignment horizontal="center" vertical="top"/>
    </xf>
    <xf numFmtId="49" fontId="12" fillId="5" borderId="27" xfId="1" applyNumberFormat="1" applyFont="1" applyFill="1" applyBorder="1" applyAlignment="1">
      <alignment horizontal="center" vertical="top"/>
    </xf>
    <xf numFmtId="49" fontId="12" fillId="5" borderId="11" xfId="1" applyNumberFormat="1" applyFont="1" applyFill="1" applyBorder="1" applyAlignment="1">
      <alignment horizontal="center" vertical="top"/>
    </xf>
    <xf numFmtId="49" fontId="1" fillId="17" borderId="58" xfId="1" applyNumberFormat="1" applyFont="1" applyFill="1" applyBorder="1" applyAlignment="1">
      <alignment horizontal="center" vertical="center" wrapText="1"/>
    </xf>
    <xf numFmtId="49" fontId="1" fillId="17" borderId="27" xfId="1" applyNumberFormat="1" applyFont="1" applyFill="1" applyBorder="1" applyAlignment="1">
      <alignment horizontal="center" vertical="center" wrapText="1"/>
    </xf>
    <xf numFmtId="49" fontId="1" fillId="17" borderId="11" xfId="1" applyNumberFormat="1" applyFont="1" applyFill="1" applyBorder="1" applyAlignment="1">
      <alignment horizontal="center" vertical="center" wrapText="1"/>
    </xf>
    <xf numFmtId="49" fontId="1" fillId="17" borderId="59" xfId="1" applyNumberFormat="1" applyFont="1" applyFill="1" applyBorder="1" applyAlignment="1">
      <alignment horizontal="center" vertical="center" wrapText="1"/>
    </xf>
    <xf numFmtId="49" fontId="1" fillId="17" borderId="15" xfId="1" applyNumberFormat="1" applyFont="1" applyFill="1" applyBorder="1" applyAlignment="1">
      <alignment horizontal="center" vertical="center" wrapText="1"/>
    </xf>
    <xf numFmtId="49" fontId="1" fillId="17" borderId="16" xfId="1" applyNumberFormat="1" applyFont="1" applyFill="1" applyBorder="1" applyAlignment="1">
      <alignment horizontal="center" vertical="center" wrapText="1"/>
    </xf>
    <xf numFmtId="49" fontId="12" fillId="0" borderId="42" xfId="1" applyNumberFormat="1" applyFont="1" applyBorder="1" applyAlignment="1">
      <alignment horizontal="center" vertical="center" wrapText="1"/>
    </xf>
    <xf numFmtId="49" fontId="12" fillId="0" borderId="41" xfId="1" applyNumberFormat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vertical="center"/>
    </xf>
    <xf numFmtId="49" fontId="10" fillId="0" borderId="8" xfId="1" applyNumberFormat="1" applyFont="1" applyBorder="1" applyAlignment="1">
      <alignment horizontal="center" vertical="center" wrapText="1"/>
    </xf>
    <xf numFmtId="49" fontId="10" fillId="0" borderId="17" xfId="1" applyNumberFormat="1" applyFont="1" applyBorder="1" applyAlignment="1">
      <alignment horizontal="center" vertical="center" wrapText="1"/>
    </xf>
    <xf numFmtId="49" fontId="10" fillId="0" borderId="6" xfId="1" applyNumberFormat="1" applyFont="1" applyBorder="1" applyAlignment="1">
      <alignment horizontal="center" vertical="center" wrapText="1"/>
    </xf>
    <xf numFmtId="49" fontId="12" fillId="0" borderId="0" xfId="1" applyNumberFormat="1" applyFont="1" applyBorder="1" applyAlignment="1">
      <alignment vertical="center"/>
    </xf>
    <xf numFmtId="49" fontId="10" fillId="0" borderId="3" xfId="1" applyNumberFormat="1" applyFont="1" applyBorder="1" applyAlignment="1">
      <alignment horizontal="center" vertical="center" wrapText="1"/>
    </xf>
    <xf numFmtId="49" fontId="11" fillId="0" borderId="0" xfId="1" applyNumberFormat="1" applyFont="1" applyBorder="1" applyAlignment="1">
      <alignment horizontal="center" vertical="center"/>
    </xf>
    <xf numFmtId="49" fontId="8" fillId="0" borderId="14" xfId="1" applyNumberFormat="1" applyFont="1" applyBorder="1" applyAlignment="1">
      <alignment horizontal="center" vertical="center"/>
    </xf>
    <xf numFmtId="49" fontId="8" fillId="0" borderId="8" xfId="1" applyNumberFormat="1" applyFont="1" applyBorder="1" applyAlignment="1">
      <alignment horizontal="center" vertical="center"/>
    </xf>
    <xf numFmtId="49" fontId="8" fillId="0" borderId="17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right" vertical="center"/>
    </xf>
    <xf numFmtId="49" fontId="8" fillId="0" borderId="0" xfId="1" applyNumberFormat="1" applyFont="1" applyBorder="1" applyAlignment="1">
      <alignment horizontal="left" vertical="center"/>
    </xf>
    <xf numFmtId="49" fontId="25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horizontal="left" vertical="center"/>
    </xf>
    <xf numFmtId="49" fontId="8" fillId="0" borderId="14" xfId="1" applyNumberFormat="1" applyFont="1" applyBorder="1" applyAlignment="1">
      <alignment horizontal="left" vertical="center"/>
    </xf>
    <xf numFmtId="49" fontId="12" fillId="0" borderId="20" xfId="1" applyNumberFormat="1" applyFont="1" applyFill="1" applyBorder="1" applyAlignment="1">
      <alignment horizontal="center" vertical="top"/>
    </xf>
    <xf numFmtId="49" fontId="12" fillId="0" borderId="31" xfId="1" applyNumberFormat="1" applyFont="1" applyFill="1" applyBorder="1" applyAlignment="1">
      <alignment horizontal="center" vertical="top"/>
    </xf>
    <xf numFmtId="49" fontId="12" fillId="0" borderId="33" xfId="1" applyNumberFormat="1" applyFont="1" applyFill="1" applyBorder="1" applyAlignment="1">
      <alignment horizontal="center" vertical="top"/>
    </xf>
    <xf numFmtId="0" fontId="0" fillId="0" borderId="37" xfId="0" applyBorder="1"/>
    <xf numFmtId="49" fontId="10" fillId="0" borderId="37" xfId="1" applyNumberFormat="1" applyFont="1" applyBorder="1" applyAlignment="1">
      <alignment vertical="center"/>
    </xf>
    <xf numFmtId="49" fontId="1" fillId="17" borderId="1" xfId="1" applyNumberFormat="1" applyFont="1" applyFill="1" applyBorder="1" applyAlignment="1">
      <alignment vertical="top" wrapText="1"/>
    </xf>
    <xf numFmtId="49" fontId="1" fillId="17" borderId="2" xfId="1" applyNumberFormat="1" applyFont="1" applyFill="1" applyBorder="1" applyAlignment="1">
      <alignment vertical="top" wrapText="1"/>
    </xf>
    <xf numFmtId="49" fontId="1" fillId="17" borderId="3" xfId="1" applyNumberFormat="1" applyFont="1" applyFill="1" applyBorder="1" applyAlignment="1">
      <alignment vertical="top" wrapText="1"/>
    </xf>
    <xf numFmtId="49" fontId="12" fillId="5" borderId="42" xfId="1" applyNumberFormat="1" applyFont="1" applyFill="1" applyBorder="1" applyAlignment="1">
      <alignment horizontal="center" vertical="top"/>
    </xf>
    <xf numFmtId="49" fontId="12" fillId="0" borderId="42" xfId="1" applyNumberFormat="1" applyFont="1" applyFill="1" applyBorder="1" applyAlignment="1">
      <alignment horizontal="center" vertical="top"/>
    </xf>
    <xf numFmtId="49" fontId="12" fillId="5" borderId="17" xfId="1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 2" xfId="2"/>
    <cellStyle name="Обычный 2 3" xfId="1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ublic\Larisa\&#1047;&#1055;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240\16\&#1042;&#1085;&#1080;&#1084;&#1072;&#1085;&#1080;&#1077;\20120226%20&#1092;&#1080;&#1085;&#1082;&#1086;&#1084;&#1087;&#1083;&#1077;&#1082;&#1090;%20&#1090;&#1088;&#1077;&#1090;&#1080;&#1081;%20&#1101;&#1090;&#1072;&#1087;\&#1047;&#1055;%20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nsveta\LOCALS~1\Temp\&#1047;&#1055;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vtsov\d\WORKS\&#1058;&#1069;&#1055;\&#1069;&#1082;&#1086;&#1085;&#1086;&#1084;&#1080;&#1082;&#1072;\16%20&#1059;&#1087;&#1088;&#1072;&#1074;&#1083;&#1077;&#1085;&#1080;&#1077;\&#1057;&#1086;&#1087;&#1077;&#1088;&#1085;&#1080;&#1082;\&#1069;&#1090;&#1072;&#1087;3\&#1044;&#1086;&#1087;.&#1089;&#1086;&#1075;&#1083;\&#1054;&#1050;&#1056;-&#1057;&#1086;&#1087;&#1077;&#1088;&#1085;&#1080;&#1082;-&#1101;&#1090;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Численность общая 2011"/>
      <sheetName val="ПЕРЕСЧЕТ регресса и СВ 2011 "/>
      <sheetName val="СВ 2011"/>
      <sheetName val="Лист1"/>
      <sheetName val="Лист2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оговор"/>
      <sheetName val="Доп_согл"/>
      <sheetName val="Протокол"/>
      <sheetName val="Протокол (мод 1-1)Мал"/>
      <sheetName val="Протокол (мод 1-1)Мар"/>
      <sheetName val="п.зап."/>
      <sheetName val="структ_цен"/>
      <sheetName val="Спец_об"/>
      <sheetName val="материалы"/>
      <sheetName val="материалы (2)"/>
      <sheetName val="труд - ть"/>
      <sheetName val="расш_зарпл."/>
      <sheetName val="к_агенты"/>
      <sheetName val="ком."/>
      <sheetName val="закл_ПЗ"/>
      <sheetName val="закл_ПЗ (мод1-1)"/>
      <sheetName val="Сопр_письмо"/>
      <sheetName val="Сопр_письмо (К-А)"/>
      <sheetName val="Сопр_письмо (факт_затр)"/>
      <sheetName val="Воронеж_к-а"/>
      <sheetName val="материалы. (факт)"/>
    </sheetNames>
    <sheetDataSet>
      <sheetData sheetId="0">
        <row r="242">
          <cell r="B242">
            <v>2500000</v>
          </cell>
        </row>
        <row r="246">
          <cell r="B246">
            <v>300000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P81"/>
  <sheetViews>
    <sheetView zoomScale="80" zoomScaleNormal="8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28" sqref="C28"/>
    </sheetView>
  </sheetViews>
  <sheetFormatPr defaultColWidth="9.5703125" defaultRowHeight="12.75"/>
  <cols>
    <col min="1" max="1" width="3.28515625" style="3" customWidth="1"/>
    <col min="2" max="2" width="11.28515625" style="34" bestFit="1" customWidth="1"/>
    <col min="3" max="3" width="20.5703125" style="3" customWidth="1"/>
    <col min="4" max="4" width="13.5703125" style="3" customWidth="1"/>
    <col min="5" max="5" width="12.140625" style="3" customWidth="1"/>
    <col min="6" max="6" width="8.5703125" style="3" customWidth="1"/>
    <col min="7" max="7" width="12.42578125" style="3" customWidth="1"/>
    <col min="8" max="8" width="12.42578125" style="3" bestFit="1" customWidth="1"/>
    <col min="9" max="9" width="12.140625" style="3" customWidth="1"/>
    <col min="10" max="10" width="8.5703125" style="3" customWidth="1"/>
    <col min="11" max="11" width="12.42578125" style="3" customWidth="1"/>
    <col min="12" max="12" width="12.42578125" style="3" bestFit="1" customWidth="1"/>
    <col min="13" max="13" width="12.140625" style="3" customWidth="1"/>
    <col min="14" max="14" width="8.5703125" style="3" customWidth="1"/>
    <col min="15" max="15" width="12.42578125" style="3" customWidth="1"/>
    <col min="16" max="16" width="12.42578125" style="3" bestFit="1" customWidth="1"/>
    <col min="17" max="17" width="12.140625" style="3" customWidth="1"/>
    <col min="18" max="18" width="8.5703125" style="3" customWidth="1"/>
    <col min="19" max="19" width="12.42578125" style="3" customWidth="1"/>
    <col min="20" max="20" width="12.42578125" style="3" bestFit="1" customWidth="1"/>
    <col min="21" max="21" width="12.140625" style="3" customWidth="1"/>
    <col min="22" max="22" width="8.5703125" style="3" customWidth="1"/>
    <col min="23" max="23" width="12.42578125" style="3" customWidth="1"/>
    <col min="24" max="24" width="12.42578125" style="3" bestFit="1" customWidth="1"/>
    <col min="25" max="25" width="12.140625" style="3" customWidth="1"/>
    <col min="26" max="26" width="8.5703125" style="3" customWidth="1"/>
    <col min="27" max="27" width="12.42578125" style="3" customWidth="1"/>
    <col min="28" max="28" width="12.42578125" style="3" bestFit="1" customWidth="1"/>
    <col min="29" max="29" width="12.140625" style="3" customWidth="1"/>
    <col min="30" max="30" width="8.5703125" style="3" customWidth="1"/>
    <col min="31" max="31" width="12.42578125" style="3" customWidth="1"/>
    <col min="32" max="32" width="12.42578125" style="3" bestFit="1" customWidth="1"/>
    <col min="33" max="33" width="12.140625" style="3" customWidth="1"/>
    <col min="34" max="34" width="8.5703125" style="3" customWidth="1"/>
    <col min="35" max="35" width="12.42578125" style="3" customWidth="1"/>
    <col min="36" max="36" width="12.42578125" style="3" bestFit="1" customWidth="1"/>
    <col min="37" max="37" width="12.140625" style="3" customWidth="1"/>
    <col min="38" max="38" width="8.5703125" style="3" customWidth="1"/>
    <col min="39" max="39" width="12.42578125" style="3" customWidth="1"/>
    <col min="40" max="40" width="12.42578125" style="3" bestFit="1" customWidth="1"/>
    <col min="41" max="41" width="12.140625" style="3" customWidth="1"/>
    <col min="42" max="42" width="8.5703125" style="3" customWidth="1"/>
    <col min="43" max="43" width="12.42578125" style="3" customWidth="1"/>
    <col min="44" max="44" width="12.42578125" style="3" bestFit="1" customWidth="1"/>
    <col min="45" max="45" width="12.140625" style="3" customWidth="1"/>
    <col min="46" max="46" width="10" style="3" customWidth="1"/>
    <col min="47" max="47" width="12.42578125" style="3" customWidth="1"/>
    <col min="48" max="48" width="12.42578125" style="3" bestFit="1" customWidth="1"/>
    <col min="49" max="49" width="12.140625" style="3" customWidth="1"/>
    <col min="50" max="50" width="8.5703125" style="3" customWidth="1"/>
    <col min="51" max="51" width="12.42578125" style="3" customWidth="1"/>
    <col min="52" max="52" width="14.28515625" style="3" customWidth="1"/>
    <col min="53" max="55" width="12.42578125" style="3" customWidth="1"/>
    <col min="56" max="56" width="17.85546875" style="3" customWidth="1"/>
    <col min="57" max="57" width="17.5703125" style="3" customWidth="1"/>
    <col min="58" max="58" width="14.28515625" style="3" customWidth="1"/>
    <col min="59" max="59" width="10.28515625" style="3" customWidth="1"/>
    <col min="60" max="198" width="8.85546875" style="3" customWidth="1"/>
    <col min="199" max="199" width="3.28515625" style="3" customWidth="1"/>
    <col min="200" max="200" width="4.7109375" style="3" customWidth="1"/>
    <col min="201" max="201" width="16.7109375" style="3" customWidth="1"/>
    <col min="202" max="233" width="8.85546875" style="3" customWidth="1"/>
    <col min="234" max="234" width="12" style="3" customWidth="1"/>
    <col min="235" max="236" width="8.85546875" style="3" customWidth="1"/>
    <col min="237" max="237" width="10.42578125" style="3" customWidth="1"/>
    <col min="238" max="238" width="12.85546875" style="3" customWidth="1"/>
    <col min="239" max="239" width="9.28515625" style="3" bestFit="1" customWidth="1"/>
    <col min="240" max="240" width="8.85546875" style="3" customWidth="1"/>
    <col min="241" max="241" width="11.7109375" style="3" customWidth="1"/>
    <col min="242" max="242" width="12.140625" style="3" customWidth="1"/>
    <col min="243" max="243" width="9.28515625" style="3" bestFit="1" customWidth="1"/>
    <col min="244" max="244" width="8.85546875" style="3" customWidth="1"/>
    <col min="245" max="246" width="11.7109375" style="3" customWidth="1"/>
    <col min="247" max="247" width="9.28515625" style="3" bestFit="1" customWidth="1"/>
    <col min="248" max="248" width="8.85546875" style="3" customWidth="1"/>
    <col min="249" max="249" width="11.85546875" style="3" bestFit="1" customWidth="1"/>
    <col min="250" max="251" width="8.85546875" style="3" customWidth="1"/>
    <col min="252" max="252" width="12.28515625" style="3" bestFit="1" customWidth="1"/>
    <col min="253" max="253" width="10.85546875" style="3" customWidth="1"/>
    <col min="254" max="254" width="9.7109375" style="3" customWidth="1"/>
    <col min="255" max="255" width="13.28515625" style="3" customWidth="1"/>
    <col min="256" max="256" width="9.5703125" style="3"/>
    <col min="257" max="257" width="3.28515625" style="3" customWidth="1"/>
    <col min="258" max="258" width="11.28515625" style="3" bestFit="1" customWidth="1"/>
    <col min="259" max="259" width="20.5703125" style="3" customWidth="1"/>
    <col min="260" max="260" width="13.5703125" style="3" customWidth="1"/>
    <col min="261" max="261" width="12.140625" style="3" customWidth="1"/>
    <col min="262" max="262" width="8.5703125" style="3" customWidth="1"/>
    <col min="263" max="263" width="12.42578125" style="3" customWidth="1"/>
    <col min="264" max="264" width="12.42578125" style="3" bestFit="1" customWidth="1"/>
    <col min="265" max="265" width="12.140625" style="3" customWidth="1"/>
    <col min="266" max="266" width="8.5703125" style="3" customWidth="1"/>
    <col min="267" max="267" width="12.42578125" style="3" customWidth="1"/>
    <col min="268" max="268" width="12.42578125" style="3" bestFit="1" customWidth="1"/>
    <col min="269" max="269" width="12.140625" style="3" customWidth="1"/>
    <col min="270" max="270" width="8.5703125" style="3" customWidth="1"/>
    <col min="271" max="271" width="12.42578125" style="3" customWidth="1"/>
    <col min="272" max="272" width="12.42578125" style="3" bestFit="1" customWidth="1"/>
    <col min="273" max="273" width="12.140625" style="3" customWidth="1"/>
    <col min="274" max="274" width="8.5703125" style="3" customWidth="1"/>
    <col min="275" max="275" width="12.42578125" style="3" customWidth="1"/>
    <col min="276" max="276" width="12.42578125" style="3" bestFit="1" customWidth="1"/>
    <col min="277" max="277" width="12.140625" style="3" customWidth="1"/>
    <col min="278" max="278" width="8.5703125" style="3" customWidth="1"/>
    <col min="279" max="279" width="12.42578125" style="3" customWidth="1"/>
    <col min="280" max="280" width="12.42578125" style="3" bestFit="1" customWidth="1"/>
    <col min="281" max="281" width="12.140625" style="3" customWidth="1"/>
    <col min="282" max="282" width="8.5703125" style="3" customWidth="1"/>
    <col min="283" max="283" width="12.42578125" style="3" customWidth="1"/>
    <col min="284" max="284" width="12.42578125" style="3" bestFit="1" customWidth="1"/>
    <col min="285" max="285" width="12.140625" style="3" customWidth="1"/>
    <col min="286" max="286" width="8.5703125" style="3" customWidth="1"/>
    <col min="287" max="287" width="12.42578125" style="3" customWidth="1"/>
    <col min="288" max="288" width="12.42578125" style="3" bestFit="1" customWidth="1"/>
    <col min="289" max="289" width="12.140625" style="3" customWidth="1"/>
    <col min="290" max="290" width="8.5703125" style="3" customWidth="1"/>
    <col min="291" max="291" width="12.42578125" style="3" customWidth="1"/>
    <col min="292" max="292" width="12.42578125" style="3" bestFit="1" customWidth="1"/>
    <col min="293" max="293" width="12.140625" style="3" customWidth="1"/>
    <col min="294" max="294" width="8.5703125" style="3" customWidth="1"/>
    <col min="295" max="295" width="12.42578125" style="3" customWidth="1"/>
    <col min="296" max="296" width="12.42578125" style="3" bestFit="1" customWidth="1"/>
    <col min="297" max="297" width="12.140625" style="3" customWidth="1"/>
    <col min="298" max="298" width="8.5703125" style="3" customWidth="1"/>
    <col min="299" max="299" width="12.42578125" style="3" customWidth="1"/>
    <col min="300" max="300" width="12.42578125" style="3" bestFit="1" customWidth="1"/>
    <col min="301" max="301" width="12.140625" style="3" customWidth="1"/>
    <col min="302" max="302" width="8.5703125" style="3" customWidth="1"/>
    <col min="303" max="303" width="12.42578125" style="3" customWidth="1"/>
    <col min="304" max="304" width="12.42578125" style="3" bestFit="1" customWidth="1"/>
    <col min="305" max="305" width="12.140625" style="3" customWidth="1"/>
    <col min="306" max="306" width="8.5703125" style="3" customWidth="1"/>
    <col min="307" max="307" width="12.42578125" style="3" customWidth="1"/>
    <col min="308" max="308" width="14.28515625" style="3" customWidth="1"/>
    <col min="309" max="311" width="12.42578125" style="3" customWidth="1"/>
    <col min="312" max="312" width="17.85546875" style="3" customWidth="1"/>
    <col min="313" max="313" width="17.5703125" style="3" customWidth="1"/>
    <col min="314" max="314" width="14.28515625" style="3" customWidth="1"/>
    <col min="315" max="315" width="10.28515625" style="3" customWidth="1"/>
    <col min="316" max="454" width="8.85546875" style="3" customWidth="1"/>
    <col min="455" max="455" width="3.28515625" style="3" customWidth="1"/>
    <col min="456" max="456" width="4.7109375" style="3" customWidth="1"/>
    <col min="457" max="457" width="16.7109375" style="3" customWidth="1"/>
    <col min="458" max="489" width="8.85546875" style="3" customWidth="1"/>
    <col min="490" max="490" width="12" style="3" customWidth="1"/>
    <col min="491" max="492" width="8.85546875" style="3" customWidth="1"/>
    <col min="493" max="493" width="10.42578125" style="3" customWidth="1"/>
    <col min="494" max="494" width="12.85546875" style="3" customWidth="1"/>
    <col min="495" max="495" width="9.28515625" style="3" bestFit="1" customWidth="1"/>
    <col min="496" max="496" width="8.85546875" style="3" customWidth="1"/>
    <col min="497" max="497" width="11.7109375" style="3" customWidth="1"/>
    <col min="498" max="498" width="12.140625" style="3" customWidth="1"/>
    <col min="499" max="499" width="9.28515625" style="3" bestFit="1" customWidth="1"/>
    <col min="500" max="500" width="8.85546875" style="3" customWidth="1"/>
    <col min="501" max="502" width="11.7109375" style="3" customWidth="1"/>
    <col min="503" max="503" width="9.28515625" style="3" bestFit="1" customWidth="1"/>
    <col min="504" max="504" width="8.85546875" style="3" customWidth="1"/>
    <col min="505" max="505" width="11.85546875" style="3" bestFit="1" customWidth="1"/>
    <col min="506" max="507" width="8.85546875" style="3" customWidth="1"/>
    <col min="508" max="508" width="12.28515625" style="3" bestFit="1" customWidth="1"/>
    <col min="509" max="509" width="10.85546875" style="3" customWidth="1"/>
    <col min="510" max="510" width="9.7109375" style="3" customWidth="1"/>
    <col min="511" max="511" width="13.28515625" style="3" customWidth="1"/>
    <col min="512" max="512" width="9.5703125" style="3"/>
    <col min="513" max="513" width="3.28515625" style="3" customWidth="1"/>
    <col min="514" max="514" width="11.28515625" style="3" bestFit="1" customWidth="1"/>
    <col min="515" max="515" width="20.5703125" style="3" customWidth="1"/>
    <col min="516" max="516" width="13.5703125" style="3" customWidth="1"/>
    <col min="517" max="517" width="12.140625" style="3" customWidth="1"/>
    <col min="518" max="518" width="8.5703125" style="3" customWidth="1"/>
    <col min="519" max="519" width="12.42578125" style="3" customWidth="1"/>
    <col min="520" max="520" width="12.42578125" style="3" bestFit="1" customWidth="1"/>
    <col min="521" max="521" width="12.140625" style="3" customWidth="1"/>
    <col min="522" max="522" width="8.5703125" style="3" customWidth="1"/>
    <col min="523" max="523" width="12.42578125" style="3" customWidth="1"/>
    <col min="524" max="524" width="12.42578125" style="3" bestFit="1" customWidth="1"/>
    <col min="525" max="525" width="12.140625" style="3" customWidth="1"/>
    <col min="526" max="526" width="8.5703125" style="3" customWidth="1"/>
    <col min="527" max="527" width="12.42578125" style="3" customWidth="1"/>
    <col min="528" max="528" width="12.42578125" style="3" bestFit="1" customWidth="1"/>
    <col min="529" max="529" width="12.140625" style="3" customWidth="1"/>
    <col min="530" max="530" width="8.5703125" style="3" customWidth="1"/>
    <col min="531" max="531" width="12.42578125" style="3" customWidth="1"/>
    <col min="532" max="532" width="12.42578125" style="3" bestFit="1" customWidth="1"/>
    <col min="533" max="533" width="12.140625" style="3" customWidth="1"/>
    <col min="534" max="534" width="8.5703125" style="3" customWidth="1"/>
    <col min="535" max="535" width="12.42578125" style="3" customWidth="1"/>
    <col min="536" max="536" width="12.42578125" style="3" bestFit="1" customWidth="1"/>
    <col min="537" max="537" width="12.140625" style="3" customWidth="1"/>
    <col min="538" max="538" width="8.5703125" style="3" customWidth="1"/>
    <col min="539" max="539" width="12.42578125" style="3" customWidth="1"/>
    <col min="540" max="540" width="12.42578125" style="3" bestFit="1" customWidth="1"/>
    <col min="541" max="541" width="12.140625" style="3" customWidth="1"/>
    <col min="542" max="542" width="8.5703125" style="3" customWidth="1"/>
    <col min="543" max="543" width="12.42578125" style="3" customWidth="1"/>
    <col min="544" max="544" width="12.42578125" style="3" bestFit="1" customWidth="1"/>
    <col min="545" max="545" width="12.140625" style="3" customWidth="1"/>
    <col min="546" max="546" width="8.5703125" style="3" customWidth="1"/>
    <col min="547" max="547" width="12.42578125" style="3" customWidth="1"/>
    <col min="548" max="548" width="12.42578125" style="3" bestFit="1" customWidth="1"/>
    <col min="549" max="549" width="12.140625" style="3" customWidth="1"/>
    <col min="550" max="550" width="8.5703125" style="3" customWidth="1"/>
    <col min="551" max="551" width="12.42578125" style="3" customWidth="1"/>
    <col min="552" max="552" width="12.42578125" style="3" bestFit="1" customWidth="1"/>
    <col min="553" max="553" width="12.140625" style="3" customWidth="1"/>
    <col min="554" max="554" width="8.5703125" style="3" customWidth="1"/>
    <col min="555" max="555" width="12.42578125" style="3" customWidth="1"/>
    <col min="556" max="556" width="12.42578125" style="3" bestFit="1" customWidth="1"/>
    <col min="557" max="557" width="12.140625" style="3" customWidth="1"/>
    <col min="558" max="558" width="8.5703125" style="3" customWidth="1"/>
    <col min="559" max="559" width="12.42578125" style="3" customWidth="1"/>
    <col min="560" max="560" width="12.42578125" style="3" bestFit="1" customWidth="1"/>
    <col min="561" max="561" width="12.140625" style="3" customWidth="1"/>
    <col min="562" max="562" width="8.5703125" style="3" customWidth="1"/>
    <col min="563" max="563" width="12.42578125" style="3" customWidth="1"/>
    <col min="564" max="564" width="14.28515625" style="3" customWidth="1"/>
    <col min="565" max="567" width="12.42578125" style="3" customWidth="1"/>
    <col min="568" max="568" width="17.85546875" style="3" customWidth="1"/>
    <col min="569" max="569" width="17.5703125" style="3" customWidth="1"/>
    <col min="570" max="570" width="14.28515625" style="3" customWidth="1"/>
    <col min="571" max="571" width="10.28515625" style="3" customWidth="1"/>
    <col min="572" max="710" width="8.85546875" style="3" customWidth="1"/>
    <col min="711" max="711" width="3.28515625" style="3" customWidth="1"/>
    <col min="712" max="712" width="4.7109375" style="3" customWidth="1"/>
    <col min="713" max="713" width="16.7109375" style="3" customWidth="1"/>
    <col min="714" max="745" width="8.85546875" style="3" customWidth="1"/>
    <col min="746" max="746" width="12" style="3" customWidth="1"/>
    <col min="747" max="748" width="8.85546875" style="3" customWidth="1"/>
    <col min="749" max="749" width="10.42578125" style="3" customWidth="1"/>
    <col min="750" max="750" width="12.85546875" style="3" customWidth="1"/>
    <col min="751" max="751" width="9.28515625" style="3" bestFit="1" customWidth="1"/>
    <col min="752" max="752" width="8.85546875" style="3" customWidth="1"/>
    <col min="753" max="753" width="11.7109375" style="3" customWidth="1"/>
    <col min="754" max="754" width="12.140625" style="3" customWidth="1"/>
    <col min="755" max="755" width="9.28515625" style="3" bestFit="1" customWidth="1"/>
    <col min="756" max="756" width="8.85546875" style="3" customWidth="1"/>
    <col min="757" max="758" width="11.7109375" style="3" customWidth="1"/>
    <col min="759" max="759" width="9.28515625" style="3" bestFit="1" customWidth="1"/>
    <col min="760" max="760" width="8.85546875" style="3" customWidth="1"/>
    <col min="761" max="761" width="11.85546875" style="3" bestFit="1" customWidth="1"/>
    <col min="762" max="763" width="8.85546875" style="3" customWidth="1"/>
    <col min="764" max="764" width="12.28515625" style="3" bestFit="1" customWidth="1"/>
    <col min="765" max="765" width="10.85546875" style="3" customWidth="1"/>
    <col min="766" max="766" width="9.7109375" style="3" customWidth="1"/>
    <col min="767" max="767" width="13.28515625" style="3" customWidth="1"/>
    <col min="768" max="768" width="9.5703125" style="3"/>
    <col min="769" max="769" width="3.28515625" style="3" customWidth="1"/>
    <col min="770" max="770" width="11.28515625" style="3" bestFit="1" customWidth="1"/>
    <col min="771" max="771" width="20.5703125" style="3" customWidth="1"/>
    <col min="772" max="772" width="13.5703125" style="3" customWidth="1"/>
    <col min="773" max="773" width="12.140625" style="3" customWidth="1"/>
    <col min="774" max="774" width="8.5703125" style="3" customWidth="1"/>
    <col min="775" max="775" width="12.42578125" style="3" customWidth="1"/>
    <col min="776" max="776" width="12.42578125" style="3" bestFit="1" customWidth="1"/>
    <col min="777" max="777" width="12.140625" style="3" customWidth="1"/>
    <col min="778" max="778" width="8.5703125" style="3" customWidth="1"/>
    <col min="779" max="779" width="12.42578125" style="3" customWidth="1"/>
    <col min="780" max="780" width="12.42578125" style="3" bestFit="1" customWidth="1"/>
    <col min="781" max="781" width="12.140625" style="3" customWidth="1"/>
    <col min="782" max="782" width="8.5703125" style="3" customWidth="1"/>
    <col min="783" max="783" width="12.42578125" style="3" customWidth="1"/>
    <col min="784" max="784" width="12.42578125" style="3" bestFit="1" customWidth="1"/>
    <col min="785" max="785" width="12.140625" style="3" customWidth="1"/>
    <col min="786" max="786" width="8.5703125" style="3" customWidth="1"/>
    <col min="787" max="787" width="12.42578125" style="3" customWidth="1"/>
    <col min="788" max="788" width="12.42578125" style="3" bestFit="1" customWidth="1"/>
    <col min="789" max="789" width="12.140625" style="3" customWidth="1"/>
    <col min="790" max="790" width="8.5703125" style="3" customWidth="1"/>
    <col min="791" max="791" width="12.42578125" style="3" customWidth="1"/>
    <col min="792" max="792" width="12.42578125" style="3" bestFit="1" customWidth="1"/>
    <col min="793" max="793" width="12.140625" style="3" customWidth="1"/>
    <col min="794" max="794" width="8.5703125" style="3" customWidth="1"/>
    <col min="795" max="795" width="12.42578125" style="3" customWidth="1"/>
    <col min="796" max="796" width="12.42578125" style="3" bestFit="1" customWidth="1"/>
    <col min="797" max="797" width="12.140625" style="3" customWidth="1"/>
    <col min="798" max="798" width="8.5703125" style="3" customWidth="1"/>
    <col min="799" max="799" width="12.42578125" style="3" customWidth="1"/>
    <col min="800" max="800" width="12.42578125" style="3" bestFit="1" customWidth="1"/>
    <col min="801" max="801" width="12.140625" style="3" customWidth="1"/>
    <col min="802" max="802" width="8.5703125" style="3" customWidth="1"/>
    <col min="803" max="803" width="12.42578125" style="3" customWidth="1"/>
    <col min="804" max="804" width="12.42578125" style="3" bestFit="1" customWidth="1"/>
    <col min="805" max="805" width="12.140625" style="3" customWidth="1"/>
    <col min="806" max="806" width="8.5703125" style="3" customWidth="1"/>
    <col min="807" max="807" width="12.42578125" style="3" customWidth="1"/>
    <col min="808" max="808" width="12.42578125" style="3" bestFit="1" customWidth="1"/>
    <col min="809" max="809" width="12.140625" style="3" customWidth="1"/>
    <col min="810" max="810" width="8.5703125" style="3" customWidth="1"/>
    <col min="811" max="811" width="12.42578125" style="3" customWidth="1"/>
    <col min="812" max="812" width="12.42578125" style="3" bestFit="1" customWidth="1"/>
    <col min="813" max="813" width="12.140625" style="3" customWidth="1"/>
    <col min="814" max="814" width="8.5703125" style="3" customWidth="1"/>
    <col min="815" max="815" width="12.42578125" style="3" customWidth="1"/>
    <col min="816" max="816" width="12.42578125" style="3" bestFit="1" customWidth="1"/>
    <col min="817" max="817" width="12.140625" style="3" customWidth="1"/>
    <col min="818" max="818" width="8.5703125" style="3" customWidth="1"/>
    <col min="819" max="819" width="12.42578125" style="3" customWidth="1"/>
    <col min="820" max="820" width="14.28515625" style="3" customWidth="1"/>
    <col min="821" max="823" width="12.42578125" style="3" customWidth="1"/>
    <col min="824" max="824" width="17.85546875" style="3" customWidth="1"/>
    <col min="825" max="825" width="17.5703125" style="3" customWidth="1"/>
    <col min="826" max="826" width="14.28515625" style="3" customWidth="1"/>
    <col min="827" max="827" width="10.28515625" style="3" customWidth="1"/>
    <col min="828" max="966" width="8.85546875" style="3" customWidth="1"/>
    <col min="967" max="967" width="3.28515625" style="3" customWidth="1"/>
    <col min="968" max="968" width="4.7109375" style="3" customWidth="1"/>
    <col min="969" max="969" width="16.7109375" style="3" customWidth="1"/>
    <col min="970" max="1001" width="8.85546875" style="3" customWidth="1"/>
    <col min="1002" max="1002" width="12" style="3" customWidth="1"/>
    <col min="1003" max="1004" width="8.85546875" style="3" customWidth="1"/>
    <col min="1005" max="1005" width="10.42578125" style="3" customWidth="1"/>
    <col min="1006" max="1006" width="12.85546875" style="3" customWidth="1"/>
    <col min="1007" max="1007" width="9.28515625" style="3" bestFit="1" customWidth="1"/>
    <col min="1008" max="1008" width="8.85546875" style="3" customWidth="1"/>
    <col min="1009" max="1009" width="11.7109375" style="3" customWidth="1"/>
    <col min="1010" max="1010" width="12.140625" style="3" customWidth="1"/>
    <col min="1011" max="1011" width="9.28515625" style="3" bestFit="1" customWidth="1"/>
    <col min="1012" max="1012" width="8.85546875" style="3" customWidth="1"/>
    <col min="1013" max="1014" width="11.7109375" style="3" customWidth="1"/>
    <col min="1015" max="1015" width="9.28515625" style="3" bestFit="1" customWidth="1"/>
    <col min="1016" max="1016" width="8.85546875" style="3" customWidth="1"/>
    <col min="1017" max="1017" width="11.85546875" style="3" bestFit="1" customWidth="1"/>
    <col min="1018" max="1019" width="8.85546875" style="3" customWidth="1"/>
    <col min="1020" max="1020" width="12.28515625" style="3" bestFit="1" customWidth="1"/>
    <col min="1021" max="1021" width="10.85546875" style="3" customWidth="1"/>
    <col min="1022" max="1022" width="9.7109375" style="3" customWidth="1"/>
    <col min="1023" max="1023" width="13.28515625" style="3" customWidth="1"/>
    <col min="1024" max="1024" width="9.5703125" style="3"/>
    <col min="1025" max="1025" width="3.28515625" style="3" customWidth="1"/>
    <col min="1026" max="1026" width="11.28515625" style="3" bestFit="1" customWidth="1"/>
    <col min="1027" max="1027" width="20.5703125" style="3" customWidth="1"/>
    <col min="1028" max="1028" width="13.5703125" style="3" customWidth="1"/>
    <col min="1029" max="1029" width="12.140625" style="3" customWidth="1"/>
    <col min="1030" max="1030" width="8.5703125" style="3" customWidth="1"/>
    <col min="1031" max="1031" width="12.42578125" style="3" customWidth="1"/>
    <col min="1032" max="1032" width="12.42578125" style="3" bestFit="1" customWidth="1"/>
    <col min="1033" max="1033" width="12.140625" style="3" customWidth="1"/>
    <col min="1034" max="1034" width="8.5703125" style="3" customWidth="1"/>
    <col min="1035" max="1035" width="12.42578125" style="3" customWidth="1"/>
    <col min="1036" max="1036" width="12.42578125" style="3" bestFit="1" customWidth="1"/>
    <col min="1037" max="1037" width="12.140625" style="3" customWidth="1"/>
    <col min="1038" max="1038" width="8.5703125" style="3" customWidth="1"/>
    <col min="1039" max="1039" width="12.42578125" style="3" customWidth="1"/>
    <col min="1040" max="1040" width="12.42578125" style="3" bestFit="1" customWidth="1"/>
    <col min="1041" max="1041" width="12.140625" style="3" customWidth="1"/>
    <col min="1042" max="1042" width="8.5703125" style="3" customWidth="1"/>
    <col min="1043" max="1043" width="12.42578125" style="3" customWidth="1"/>
    <col min="1044" max="1044" width="12.42578125" style="3" bestFit="1" customWidth="1"/>
    <col min="1045" max="1045" width="12.140625" style="3" customWidth="1"/>
    <col min="1046" max="1046" width="8.5703125" style="3" customWidth="1"/>
    <col min="1047" max="1047" width="12.42578125" style="3" customWidth="1"/>
    <col min="1048" max="1048" width="12.42578125" style="3" bestFit="1" customWidth="1"/>
    <col min="1049" max="1049" width="12.140625" style="3" customWidth="1"/>
    <col min="1050" max="1050" width="8.5703125" style="3" customWidth="1"/>
    <col min="1051" max="1051" width="12.42578125" style="3" customWidth="1"/>
    <col min="1052" max="1052" width="12.42578125" style="3" bestFit="1" customWidth="1"/>
    <col min="1053" max="1053" width="12.140625" style="3" customWidth="1"/>
    <col min="1054" max="1054" width="8.5703125" style="3" customWidth="1"/>
    <col min="1055" max="1055" width="12.42578125" style="3" customWidth="1"/>
    <col min="1056" max="1056" width="12.42578125" style="3" bestFit="1" customWidth="1"/>
    <col min="1057" max="1057" width="12.140625" style="3" customWidth="1"/>
    <col min="1058" max="1058" width="8.5703125" style="3" customWidth="1"/>
    <col min="1059" max="1059" width="12.42578125" style="3" customWidth="1"/>
    <col min="1060" max="1060" width="12.42578125" style="3" bestFit="1" customWidth="1"/>
    <col min="1061" max="1061" width="12.140625" style="3" customWidth="1"/>
    <col min="1062" max="1062" width="8.5703125" style="3" customWidth="1"/>
    <col min="1063" max="1063" width="12.42578125" style="3" customWidth="1"/>
    <col min="1064" max="1064" width="12.42578125" style="3" bestFit="1" customWidth="1"/>
    <col min="1065" max="1065" width="12.140625" style="3" customWidth="1"/>
    <col min="1066" max="1066" width="8.5703125" style="3" customWidth="1"/>
    <col min="1067" max="1067" width="12.42578125" style="3" customWidth="1"/>
    <col min="1068" max="1068" width="12.42578125" style="3" bestFit="1" customWidth="1"/>
    <col min="1069" max="1069" width="12.140625" style="3" customWidth="1"/>
    <col min="1070" max="1070" width="8.5703125" style="3" customWidth="1"/>
    <col min="1071" max="1071" width="12.42578125" style="3" customWidth="1"/>
    <col min="1072" max="1072" width="12.42578125" style="3" bestFit="1" customWidth="1"/>
    <col min="1073" max="1073" width="12.140625" style="3" customWidth="1"/>
    <col min="1074" max="1074" width="8.5703125" style="3" customWidth="1"/>
    <col min="1075" max="1075" width="12.42578125" style="3" customWidth="1"/>
    <col min="1076" max="1076" width="14.28515625" style="3" customWidth="1"/>
    <col min="1077" max="1079" width="12.42578125" style="3" customWidth="1"/>
    <col min="1080" max="1080" width="17.85546875" style="3" customWidth="1"/>
    <col min="1081" max="1081" width="17.5703125" style="3" customWidth="1"/>
    <col min="1082" max="1082" width="14.28515625" style="3" customWidth="1"/>
    <col min="1083" max="1083" width="10.28515625" style="3" customWidth="1"/>
    <col min="1084" max="1222" width="8.85546875" style="3" customWidth="1"/>
    <col min="1223" max="1223" width="3.28515625" style="3" customWidth="1"/>
    <col min="1224" max="1224" width="4.7109375" style="3" customWidth="1"/>
    <col min="1225" max="1225" width="16.7109375" style="3" customWidth="1"/>
    <col min="1226" max="1257" width="8.85546875" style="3" customWidth="1"/>
    <col min="1258" max="1258" width="12" style="3" customWidth="1"/>
    <col min="1259" max="1260" width="8.85546875" style="3" customWidth="1"/>
    <col min="1261" max="1261" width="10.42578125" style="3" customWidth="1"/>
    <col min="1262" max="1262" width="12.85546875" style="3" customWidth="1"/>
    <col min="1263" max="1263" width="9.28515625" style="3" bestFit="1" customWidth="1"/>
    <col min="1264" max="1264" width="8.85546875" style="3" customWidth="1"/>
    <col min="1265" max="1265" width="11.7109375" style="3" customWidth="1"/>
    <col min="1266" max="1266" width="12.140625" style="3" customWidth="1"/>
    <col min="1267" max="1267" width="9.28515625" style="3" bestFit="1" customWidth="1"/>
    <col min="1268" max="1268" width="8.85546875" style="3" customWidth="1"/>
    <col min="1269" max="1270" width="11.7109375" style="3" customWidth="1"/>
    <col min="1271" max="1271" width="9.28515625" style="3" bestFit="1" customWidth="1"/>
    <col min="1272" max="1272" width="8.85546875" style="3" customWidth="1"/>
    <col min="1273" max="1273" width="11.85546875" style="3" bestFit="1" customWidth="1"/>
    <col min="1274" max="1275" width="8.85546875" style="3" customWidth="1"/>
    <col min="1276" max="1276" width="12.28515625" style="3" bestFit="1" customWidth="1"/>
    <col min="1277" max="1277" width="10.85546875" style="3" customWidth="1"/>
    <col min="1278" max="1278" width="9.7109375" style="3" customWidth="1"/>
    <col min="1279" max="1279" width="13.28515625" style="3" customWidth="1"/>
    <col min="1280" max="1280" width="9.5703125" style="3"/>
    <col min="1281" max="1281" width="3.28515625" style="3" customWidth="1"/>
    <col min="1282" max="1282" width="11.28515625" style="3" bestFit="1" customWidth="1"/>
    <col min="1283" max="1283" width="20.5703125" style="3" customWidth="1"/>
    <col min="1284" max="1284" width="13.5703125" style="3" customWidth="1"/>
    <col min="1285" max="1285" width="12.140625" style="3" customWidth="1"/>
    <col min="1286" max="1286" width="8.5703125" style="3" customWidth="1"/>
    <col min="1287" max="1287" width="12.42578125" style="3" customWidth="1"/>
    <col min="1288" max="1288" width="12.42578125" style="3" bestFit="1" customWidth="1"/>
    <col min="1289" max="1289" width="12.140625" style="3" customWidth="1"/>
    <col min="1290" max="1290" width="8.5703125" style="3" customWidth="1"/>
    <col min="1291" max="1291" width="12.42578125" style="3" customWidth="1"/>
    <col min="1292" max="1292" width="12.42578125" style="3" bestFit="1" customWidth="1"/>
    <col min="1293" max="1293" width="12.140625" style="3" customWidth="1"/>
    <col min="1294" max="1294" width="8.5703125" style="3" customWidth="1"/>
    <col min="1295" max="1295" width="12.42578125" style="3" customWidth="1"/>
    <col min="1296" max="1296" width="12.42578125" style="3" bestFit="1" customWidth="1"/>
    <col min="1297" max="1297" width="12.140625" style="3" customWidth="1"/>
    <col min="1298" max="1298" width="8.5703125" style="3" customWidth="1"/>
    <col min="1299" max="1299" width="12.42578125" style="3" customWidth="1"/>
    <col min="1300" max="1300" width="12.42578125" style="3" bestFit="1" customWidth="1"/>
    <col min="1301" max="1301" width="12.140625" style="3" customWidth="1"/>
    <col min="1302" max="1302" width="8.5703125" style="3" customWidth="1"/>
    <col min="1303" max="1303" width="12.42578125" style="3" customWidth="1"/>
    <col min="1304" max="1304" width="12.42578125" style="3" bestFit="1" customWidth="1"/>
    <col min="1305" max="1305" width="12.140625" style="3" customWidth="1"/>
    <col min="1306" max="1306" width="8.5703125" style="3" customWidth="1"/>
    <col min="1307" max="1307" width="12.42578125" style="3" customWidth="1"/>
    <col min="1308" max="1308" width="12.42578125" style="3" bestFit="1" customWidth="1"/>
    <col min="1309" max="1309" width="12.140625" style="3" customWidth="1"/>
    <col min="1310" max="1310" width="8.5703125" style="3" customWidth="1"/>
    <col min="1311" max="1311" width="12.42578125" style="3" customWidth="1"/>
    <col min="1312" max="1312" width="12.42578125" style="3" bestFit="1" customWidth="1"/>
    <col min="1313" max="1313" width="12.140625" style="3" customWidth="1"/>
    <col min="1314" max="1314" width="8.5703125" style="3" customWidth="1"/>
    <col min="1315" max="1315" width="12.42578125" style="3" customWidth="1"/>
    <col min="1316" max="1316" width="12.42578125" style="3" bestFit="1" customWidth="1"/>
    <col min="1317" max="1317" width="12.140625" style="3" customWidth="1"/>
    <col min="1318" max="1318" width="8.5703125" style="3" customWidth="1"/>
    <col min="1319" max="1319" width="12.42578125" style="3" customWidth="1"/>
    <col min="1320" max="1320" width="12.42578125" style="3" bestFit="1" customWidth="1"/>
    <col min="1321" max="1321" width="12.140625" style="3" customWidth="1"/>
    <col min="1322" max="1322" width="8.5703125" style="3" customWidth="1"/>
    <col min="1323" max="1323" width="12.42578125" style="3" customWidth="1"/>
    <col min="1324" max="1324" width="12.42578125" style="3" bestFit="1" customWidth="1"/>
    <col min="1325" max="1325" width="12.140625" style="3" customWidth="1"/>
    <col min="1326" max="1326" width="8.5703125" style="3" customWidth="1"/>
    <col min="1327" max="1327" width="12.42578125" style="3" customWidth="1"/>
    <col min="1328" max="1328" width="12.42578125" style="3" bestFit="1" customWidth="1"/>
    <col min="1329" max="1329" width="12.140625" style="3" customWidth="1"/>
    <col min="1330" max="1330" width="8.5703125" style="3" customWidth="1"/>
    <col min="1331" max="1331" width="12.42578125" style="3" customWidth="1"/>
    <col min="1332" max="1332" width="14.28515625" style="3" customWidth="1"/>
    <col min="1333" max="1335" width="12.42578125" style="3" customWidth="1"/>
    <col min="1336" max="1336" width="17.85546875" style="3" customWidth="1"/>
    <col min="1337" max="1337" width="17.5703125" style="3" customWidth="1"/>
    <col min="1338" max="1338" width="14.28515625" style="3" customWidth="1"/>
    <col min="1339" max="1339" width="10.28515625" style="3" customWidth="1"/>
    <col min="1340" max="1478" width="8.85546875" style="3" customWidth="1"/>
    <col min="1479" max="1479" width="3.28515625" style="3" customWidth="1"/>
    <col min="1480" max="1480" width="4.7109375" style="3" customWidth="1"/>
    <col min="1481" max="1481" width="16.7109375" style="3" customWidth="1"/>
    <col min="1482" max="1513" width="8.85546875" style="3" customWidth="1"/>
    <col min="1514" max="1514" width="12" style="3" customWidth="1"/>
    <col min="1515" max="1516" width="8.85546875" style="3" customWidth="1"/>
    <col min="1517" max="1517" width="10.42578125" style="3" customWidth="1"/>
    <col min="1518" max="1518" width="12.85546875" style="3" customWidth="1"/>
    <col min="1519" max="1519" width="9.28515625" style="3" bestFit="1" customWidth="1"/>
    <col min="1520" max="1520" width="8.85546875" style="3" customWidth="1"/>
    <col min="1521" max="1521" width="11.7109375" style="3" customWidth="1"/>
    <col min="1522" max="1522" width="12.140625" style="3" customWidth="1"/>
    <col min="1523" max="1523" width="9.28515625" style="3" bestFit="1" customWidth="1"/>
    <col min="1524" max="1524" width="8.85546875" style="3" customWidth="1"/>
    <col min="1525" max="1526" width="11.7109375" style="3" customWidth="1"/>
    <col min="1527" max="1527" width="9.28515625" style="3" bestFit="1" customWidth="1"/>
    <col min="1528" max="1528" width="8.85546875" style="3" customWidth="1"/>
    <col min="1529" max="1529" width="11.85546875" style="3" bestFit="1" customWidth="1"/>
    <col min="1530" max="1531" width="8.85546875" style="3" customWidth="1"/>
    <col min="1532" max="1532" width="12.28515625" style="3" bestFit="1" customWidth="1"/>
    <col min="1533" max="1533" width="10.85546875" style="3" customWidth="1"/>
    <col min="1534" max="1534" width="9.7109375" style="3" customWidth="1"/>
    <col min="1535" max="1535" width="13.28515625" style="3" customWidth="1"/>
    <col min="1536" max="1536" width="9.5703125" style="3"/>
    <col min="1537" max="1537" width="3.28515625" style="3" customWidth="1"/>
    <col min="1538" max="1538" width="11.28515625" style="3" bestFit="1" customWidth="1"/>
    <col min="1539" max="1539" width="20.5703125" style="3" customWidth="1"/>
    <col min="1540" max="1540" width="13.5703125" style="3" customWidth="1"/>
    <col min="1541" max="1541" width="12.140625" style="3" customWidth="1"/>
    <col min="1542" max="1542" width="8.5703125" style="3" customWidth="1"/>
    <col min="1543" max="1543" width="12.42578125" style="3" customWidth="1"/>
    <col min="1544" max="1544" width="12.42578125" style="3" bestFit="1" customWidth="1"/>
    <col min="1545" max="1545" width="12.140625" style="3" customWidth="1"/>
    <col min="1546" max="1546" width="8.5703125" style="3" customWidth="1"/>
    <col min="1547" max="1547" width="12.42578125" style="3" customWidth="1"/>
    <col min="1548" max="1548" width="12.42578125" style="3" bestFit="1" customWidth="1"/>
    <col min="1549" max="1549" width="12.140625" style="3" customWidth="1"/>
    <col min="1550" max="1550" width="8.5703125" style="3" customWidth="1"/>
    <col min="1551" max="1551" width="12.42578125" style="3" customWidth="1"/>
    <col min="1552" max="1552" width="12.42578125" style="3" bestFit="1" customWidth="1"/>
    <col min="1553" max="1553" width="12.140625" style="3" customWidth="1"/>
    <col min="1554" max="1554" width="8.5703125" style="3" customWidth="1"/>
    <col min="1555" max="1555" width="12.42578125" style="3" customWidth="1"/>
    <col min="1556" max="1556" width="12.42578125" style="3" bestFit="1" customWidth="1"/>
    <col min="1557" max="1557" width="12.140625" style="3" customWidth="1"/>
    <col min="1558" max="1558" width="8.5703125" style="3" customWidth="1"/>
    <col min="1559" max="1559" width="12.42578125" style="3" customWidth="1"/>
    <col min="1560" max="1560" width="12.42578125" style="3" bestFit="1" customWidth="1"/>
    <col min="1561" max="1561" width="12.140625" style="3" customWidth="1"/>
    <col min="1562" max="1562" width="8.5703125" style="3" customWidth="1"/>
    <col min="1563" max="1563" width="12.42578125" style="3" customWidth="1"/>
    <col min="1564" max="1564" width="12.42578125" style="3" bestFit="1" customWidth="1"/>
    <col min="1565" max="1565" width="12.140625" style="3" customWidth="1"/>
    <col min="1566" max="1566" width="8.5703125" style="3" customWidth="1"/>
    <col min="1567" max="1567" width="12.42578125" style="3" customWidth="1"/>
    <col min="1568" max="1568" width="12.42578125" style="3" bestFit="1" customWidth="1"/>
    <col min="1569" max="1569" width="12.140625" style="3" customWidth="1"/>
    <col min="1570" max="1570" width="8.5703125" style="3" customWidth="1"/>
    <col min="1571" max="1571" width="12.42578125" style="3" customWidth="1"/>
    <col min="1572" max="1572" width="12.42578125" style="3" bestFit="1" customWidth="1"/>
    <col min="1573" max="1573" width="12.140625" style="3" customWidth="1"/>
    <col min="1574" max="1574" width="8.5703125" style="3" customWidth="1"/>
    <col min="1575" max="1575" width="12.42578125" style="3" customWidth="1"/>
    <col min="1576" max="1576" width="12.42578125" style="3" bestFit="1" customWidth="1"/>
    <col min="1577" max="1577" width="12.140625" style="3" customWidth="1"/>
    <col min="1578" max="1578" width="8.5703125" style="3" customWidth="1"/>
    <col min="1579" max="1579" width="12.42578125" style="3" customWidth="1"/>
    <col min="1580" max="1580" width="12.42578125" style="3" bestFit="1" customWidth="1"/>
    <col min="1581" max="1581" width="12.140625" style="3" customWidth="1"/>
    <col min="1582" max="1582" width="8.5703125" style="3" customWidth="1"/>
    <col min="1583" max="1583" width="12.42578125" style="3" customWidth="1"/>
    <col min="1584" max="1584" width="12.42578125" style="3" bestFit="1" customWidth="1"/>
    <col min="1585" max="1585" width="12.140625" style="3" customWidth="1"/>
    <col min="1586" max="1586" width="8.5703125" style="3" customWidth="1"/>
    <col min="1587" max="1587" width="12.42578125" style="3" customWidth="1"/>
    <col min="1588" max="1588" width="14.28515625" style="3" customWidth="1"/>
    <col min="1589" max="1591" width="12.42578125" style="3" customWidth="1"/>
    <col min="1592" max="1592" width="17.85546875" style="3" customWidth="1"/>
    <col min="1593" max="1593" width="17.5703125" style="3" customWidth="1"/>
    <col min="1594" max="1594" width="14.28515625" style="3" customWidth="1"/>
    <col min="1595" max="1595" width="10.28515625" style="3" customWidth="1"/>
    <col min="1596" max="1734" width="8.85546875" style="3" customWidth="1"/>
    <col min="1735" max="1735" width="3.28515625" style="3" customWidth="1"/>
    <col min="1736" max="1736" width="4.7109375" style="3" customWidth="1"/>
    <col min="1737" max="1737" width="16.7109375" style="3" customWidth="1"/>
    <col min="1738" max="1769" width="8.85546875" style="3" customWidth="1"/>
    <col min="1770" max="1770" width="12" style="3" customWidth="1"/>
    <col min="1771" max="1772" width="8.85546875" style="3" customWidth="1"/>
    <col min="1773" max="1773" width="10.42578125" style="3" customWidth="1"/>
    <col min="1774" max="1774" width="12.85546875" style="3" customWidth="1"/>
    <col min="1775" max="1775" width="9.28515625" style="3" bestFit="1" customWidth="1"/>
    <col min="1776" max="1776" width="8.85546875" style="3" customWidth="1"/>
    <col min="1777" max="1777" width="11.7109375" style="3" customWidth="1"/>
    <col min="1778" max="1778" width="12.140625" style="3" customWidth="1"/>
    <col min="1779" max="1779" width="9.28515625" style="3" bestFit="1" customWidth="1"/>
    <col min="1780" max="1780" width="8.85546875" style="3" customWidth="1"/>
    <col min="1781" max="1782" width="11.7109375" style="3" customWidth="1"/>
    <col min="1783" max="1783" width="9.28515625" style="3" bestFit="1" customWidth="1"/>
    <col min="1784" max="1784" width="8.85546875" style="3" customWidth="1"/>
    <col min="1785" max="1785" width="11.85546875" style="3" bestFit="1" customWidth="1"/>
    <col min="1786" max="1787" width="8.85546875" style="3" customWidth="1"/>
    <col min="1788" max="1788" width="12.28515625" style="3" bestFit="1" customWidth="1"/>
    <col min="1789" max="1789" width="10.85546875" style="3" customWidth="1"/>
    <col min="1790" max="1790" width="9.7109375" style="3" customWidth="1"/>
    <col min="1791" max="1791" width="13.28515625" style="3" customWidth="1"/>
    <col min="1792" max="1792" width="9.5703125" style="3"/>
    <col min="1793" max="1793" width="3.28515625" style="3" customWidth="1"/>
    <col min="1794" max="1794" width="11.28515625" style="3" bestFit="1" customWidth="1"/>
    <col min="1795" max="1795" width="20.5703125" style="3" customWidth="1"/>
    <col min="1796" max="1796" width="13.5703125" style="3" customWidth="1"/>
    <col min="1797" max="1797" width="12.140625" style="3" customWidth="1"/>
    <col min="1798" max="1798" width="8.5703125" style="3" customWidth="1"/>
    <col min="1799" max="1799" width="12.42578125" style="3" customWidth="1"/>
    <col min="1800" max="1800" width="12.42578125" style="3" bestFit="1" customWidth="1"/>
    <col min="1801" max="1801" width="12.140625" style="3" customWidth="1"/>
    <col min="1802" max="1802" width="8.5703125" style="3" customWidth="1"/>
    <col min="1803" max="1803" width="12.42578125" style="3" customWidth="1"/>
    <col min="1804" max="1804" width="12.42578125" style="3" bestFit="1" customWidth="1"/>
    <col min="1805" max="1805" width="12.140625" style="3" customWidth="1"/>
    <col min="1806" max="1806" width="8.5703125" style="3" customWidth="1"/>
    <col min="1807" max="1807" width="12.42578125" style="3" customWidth="1"/>
    <col min="1808" max="1808" width="12.42578125" style="3" bestFit="1" customWidth="1"/>
    <col min="1809" max="1809" width="12.140625" style="3" customWidth="1"/>
    <col min="1810" max="1810" width="8.5703125" style="3" customWidth="1"/>
    <col min="1811" max="1811" width="12.42578125" style="3" customWidth="1"/>
    <col min="1812" max="1812" width="12.42578125" style="3" bestFit="1" customWidth="1"/>
    <col min="1813" max="1813" width="12.140625" style="3" customWidth="1"/>
    <col min="1814" max="1814" width="8.5703125" style="3" customWidth="1"/>
    <col min="1815" max="1815" width="12.42578125" style="3" customWidth="1"/>
    <col min="1816" max="1816" width="12.42578125" style="3" bestFit="1" customWidth="1"/>
    <col min="1817" max="1817" width="12.140625" style="3" customWidth="1"/>
    <col min="1818" max="1818" width="8.5703125" style="3" customWidth="1"/>
    <col min="1819" max="1819" width="12.42578125" style="3" customWidth="1"/>
    <col min="1820" max="1820" width="12.42578125" style="3" bestFit="1" customWidth="1"/>
    <col min="1821" max="1821" width="12.140625" style="3" customWidth="1"/>
    <col min="1822" max="1822" width="8.5703125" style="3" customWidth="1"/>
    <col min="1823" max="1823" width="12.42578125" style="3" customWidth="1"/>
    <col min="1824" max="1824" width="12.42578125" style="3" bestFit="1" customWidth="1"/>
    <col min="1825" max="1825" width="12.140625" style="3" customWidth="1"/>
    <col min="1826" max="1826" width="8.5703125" style="3" customWidth="1"/>
    <col min="1827" max="1827" width="12.42578125" style="3" customWidth="1"/>
    <col min="1828" max="1828" width="12.42578125" style="3" bestFit="1" customWidth="1"/>
    <col min="1829" max="1829" width="12.140625" style="3" customWidth="1"/>
    <col min="1830" max="1830" width="8.5703125" style="3" customWidth="1"/>
    <col min="1831" max="1831" width="12.42578125" style="3" customWidth="1"/>
    <col min="1832" max="1832" width="12.42578125" style="3" bestFit="1" customWidth="1"/>
    <col min="1833" max="1833" width="12.140625" style="3" customWidth="1"/>
    <col min="1834" max="1834" width="8.5703125" style="3" customWidth="1"/>
    <col min="1835" max="1835" width="12.42578125" style="3" customWidth="1"/>
    <col min="1836" max="1836" width="12.42578125" style="3" bestFit="1" customWidth="1"/>
    <col min="1837" max="1837" width="12.140625" style="3" customWidth="1"/>
    <col min="1838" max="1838" width="8.5703125" style="3" customWidth="1"/>
    <col min="1839" max="1839" width="12.42578125" style="3" customWidth="1"/>
    <col min="1840" max="1840" width="12.42578125" style="3" bestFit="1" customWidth="1"/>
    <col min="1841" max="1841" width="12.140625" style="3" customWidth="1"/>
    <col min="1842" max="1842" width="8.5703125" style="3" customWidth="1"/>
    <col min="1843" max="1843" width="12.42578125" style="3" customWidth="1"/>
    <col min="1844" max="1844" width="14.28515625" style="3" customWidth="1"/>
    <col min="1845" max="1847" width="12.42578125" style="3" customWidth="1"/>
    <col min="1848" max="1848" width="17.85546875" style="3" customWidth="1"/>
    <col min="1849" max="1849" width="17.5703125" style="3" customWidth="1"/>
    <col min="1850" max="1850" width="14.28515625" style="3" customWidth="1"/>
    <col min="1851" max="1851" width="10.28515625" style="3" customWidth="1"/>
    <col min="1852" max="1990" width="8.85546875" style="3" customWidth="1"/>
    <col min="1991" max="1991" width="3.28515625" style="3" customWidth="1"/>
    <col min="1992" max="1992" width="4.7109375" style="3" customWidth="1"/>
    <col min="1993" max="1993" width="16.7109375" style="3" customWidth="1"/>
    <col min="1994" max="2025" width="8.85546875" style="3" customWidth="1"/>
    <col min="2026" max="2026" width="12" style="3" customWidth="1"/>
    <col min="2027" max="2028" width="8.85546875" style="3" customWidth="1"/>
    <col min="2029" max="2029" width="10.42578125" style="3" customWidth="1"/>
    <col min="2030" max="2030" width="12.85546875" style="3" customWidth="1"/>
    <col min="2031" max="2031" width="9.28515625" style="3" bestFit="1" customWidth="1"/>
    <col min="2032" max="2032" width="8.85546875" style="3" customWidth="1"/>
    <col min="2033" max="2033" width="11.7109375" style="3" customWidth="1"/>
    <col min="2034" max="2034" width="12.140625" style="3" customWidth="1"/>
    <col min="2035" max="2035" width="9.28515625" style="3" bestFit="1" customWidth="1"/>
    <col min="2036" max="2036" width="8.85546875" style="3" customWidth="1"/>
    <col min="2037" max="2038" width="11.7109375" style="3" customWidth="1"/>
    <col min="2039" max="2039" width="9.28515625" style="3" bestFit="1" customWidth="1"/>
    <col min="2040" max="2040" width="8.85546875" style="3" customWidth="1"/>
    <col min="2041" max="2041" width="11.85546875" style="3" bestFit="1" customWidth="1"/>
    <col min="2042" max="2043" width="8.85546875" style="3" customWidth="1"/>
    <col min="2044" max="2044" width="12.28515625" style="3" bestFit="1" customWidth="1"/>
    <col min="2045" max="2045" width="10.85546875" style="3" customWidth="1"/>
    <col min="2046" max="2046" width="9.7109375" style="3" customWidth="1"/>
    <col min="2047" max="2047" width="13.28515625" style="3" customWidth="1"/>
    <col min="2048" max="2048" width="9.5703125" style="3"/>
    <col min="2049" max="2049" width="3.28515625" style="3" customWidth="1"/>
    <col min="2050" max="2050" width="11.28515625" style="3" bestFit="1" customWidth="1"/>
    <col min="2051" max="2051" width="20.5703125" style="3" customWidth="1"/>
    <col min="2052" max="2052" width="13.5703125" style="3" customWidth="1"/>
    <col min="2053" max="2053" width="12.140625" style="3" customWidth="1"/>
    <col min="2054" max="2054" width="8.5703125" style="3" customWidth="1"/>
    <col min="2055" max="2055" width="12.42578125" style="3" customWidth="1"/>
    <col min="2056" max="2056" width="12.42578125" style="3" bestFit="1" customWidth="1"/>
    <col min="2057" max="2057" width="12.140625" style="3" customWidth="1"/>
    <col min="2058" max="2058" width="8.5703125" style="3" customWidth="1"/>
    <col min="2059" max="2059" width="12.42578125" style="3" customWidth="1"/>
    <col min="2060" max="2060" width="12.42578125" style="3" bestFit="1" customWidth="1"/>
    <col min="2061" max="2061" width="12.140625" style="3" customWidth="1"/>
    <col min="2062" max="2062" width="8.5703125" style="3" customWidth="1"/>
    <col min="2063" max="2063" width="12.42578125" style="3" customWidth="1"/>
    <col min="2064" max="2064" width="12.42578125" style="3" bestFit="1" customWidth="1"/>
    <col min="2065" max="2065" width="12.140625" style="3" customWidth="1"/>
    <col min="2066" max="2066" width="8.5703125" style="3" customWidth="1"/>
    <col min="2067" max="2067" width="12.42578125" style="3" customWidth="1"/>
    <col min="2068" max="2068" width="12.42578125" style="3" bestFit="1" customWidth="1"/>
    <col min="2069" max="2069" width="12.140625" style="3" customWidth="1"/>
    <col min="2070" max="2070" width="8.5703125" style="3" customWidth="1"/>
    <col min="2071" max="2071" width="12.42578125" style="3" customWidth="1"/>
    <col min="2072" max="2072" width="12.42578125" style="3" bestFit="1" customWidth="1"/>
    <col min="2073" max="2073" width="12.140625" style="3" customWidth="1"/>
    <col min="2074" max="2074" width="8.5703125" style="3" customWidth="1"/>
    <col min="2075" max="2075" width="12.42578125" style="3" customWidth="1"/>
    <col min="2076" max="2076" width="12.42578125" style="3" bestFit="1" customWidth="1"/>
    <col min="2077" max="2077" width="12.140625" style="3" customWidth="1"/>
    <col min="2078" max="2078" width="8.5703125" style="3" customWidth="1"/>
    <col min="2079" max="2079" width="12.42578125" style="3" customWidth="1"/>
    <col min="2080" max="2080" width="12.42578125" style="3" bestFit="1" customWidth="1"/>
    <col min="2081" max="2081" width="12.140625" style="3" customWidth="1"/>
    <col min="2082" max="2082" width="8.5703125" style="3" customWidth="1"/>
    <col min="2083" max="2083" width="12.42578125" style="3" customWidth="1"/>
    <col min="2084" max="2084" width="12.42578125" style="3" bestFit="1" customWidth="1"/>
    <col min="2085" max="2085" width="12.140625" style="3" customWidth="1"/>
    <col min="2086" max="2086" width="8.5703125" style="3" customWidth="1"/>
    <col min="2087" max="2087" width="12.42578125" style="3" customWidth="1"/>
    <col min="2088" max="2088" width="12.42578125" style="3" bestFit="1" customWidth="1"/>
    <col min="2089" max="2089" width="12.140625" style="3" customWidth="1"/>
    <col min="2090" max="2090" width="8.5703125" style="3" customWidth="1"/>
    <col min="2091" max="2091" width="12.42578125" style="3" customWidth="1"/>
    <col min="2092" max="2092" width="12.42578125" style="3" bestFit="1" customWidth="1"/>
    <col min="2093" max="2093" width="12.140625" style="3" customWidth="1"/>
    <col min="2094" max="2094" width="8.5703125" style="3" customWidth="1"/>
    <col min="2095" max="2095" width="12.42578125" style="3" customWidth="1"/>
    <col min="2096" max="2096" width="12.42578125" style="3" bestFit="1" customWidth="1"/>
    <col min="2097" max="2097" width="12.140625" style="3" customWidth="1"/>
    <col min="2098" max="2098" width="8.5703125" style="3" customWidth="1"/>
    <col min="2099" max="2099" width="12.42578125" style="3" customWidth="1"/>
    <col min="2100" max="2100" width="14.28515625" style="3" customWidth="1"/>
    <col min="2101" max="2103" width="12.42578125" style="3" customWidth="1"/>
    <col min="2104" max="2104" width="17.85546875" style="3" customWidth="1"/>
    <col min="2105" max="2105" width="17.5703125" style="3" customWidth="1"/>
    <col min="2106" max="2106" width="14.28515625" style="3" customWidth="1"/>
    <col min="2107" max="2107" width="10.28515625" style="3" customWidth="1"/>
    <col min="2108" max="2246" width="8.85546875" style="3" customWidth="1"/>
    <col min="2247" max="2247" width="3.28515625" style="3" customWidth="1"/>
    <col min="2248" max="2248" width="4.7109375" style="3" customWidth="1"/>
    <col min="2249" max="2249" width="16.7109375" style="3" customWidth="1"/>
    <col min="2250" max="2281" width="8.85546875" style="3" customWidth="1"/>
    <col min="2282" max="2282" width="12" style="3" customWidth="1"/>
    <col min="2283" max="2284" width="8.85546875" style="3" customWidth="1"/>
    <col min="2285" max="2285" width="10.42578125" style="3" customWidth="1"/>
    <col min="2286" max="2286" width="12.85546875" style="3" customWidth="1"/>
    <col min="2287" max="2287" width="9.28515625" style="3" bestFit="1" customWidth="1"/>
    <col min="2288" max="2288" width="8.85546875" style="3" customWidth="1"/>
    <col min="2289" max="2289" width="11.7109375" style="3" customWidth="1"/>
    <col min="2290" max="2290" width="12.140625" style="3" customWidth="1"/>
    <col min="2291" max="2291" width="9.28515625" style="3" bestFit="1" customWidth="1"/>
    <col min="2292" max="2292" width="8.85546875" style="3" customWidth="1"/>
    <col min="2293" max="2294" width="11.7109375" style="3" customWidth="1"/>
    <col min="2295" max="2295" width="9.28515625" style="3" bestFit="1" customWidth="1"/>
    <col min="2296" max="2296" width="8.85546875" style="3" customWidth="1"/>
    <col min="2297" max="2297" width="11.85546875" style="3" bestFit="1" customWidth="1"/>
    <col min="2298" max="2299" width="8.85546875" style="3" customWidth="1"/>
    <col min="2300" max="2300" width="12.28515625" style="3" bestFit="1" customWidth="1"/>
    <col min="2301" max="2301" width="10.85546875" style="3" customWidth="1"/>
    <col min="2302" max="2302" width="9.7109375" style="3" customWidth="1"/>
    <col min="2303" max="2303" width="13.28515625" style="3" customWidth="1"/>
    <col min="2304" max="2304" width="9.5703125" style="3"/>
    <col min="2305" max="2305" width="3.28515625" style="3" customWidth="1"/>
    <col min="2306" max="2306" width="11.28515625" style="3" bestFit="1" customWidth="1"/>
    <col min="2307" max="2307" width="20.5703125" style="3" customWidth="1"/>
    <col min="2308" max="2308" width="13.5703125" style="3" customWidth="1"/>
    <col min="2309" max="2309" width="12.140625" style="3" customWidth="1"/>
    <col min="2310" max="2310" width="8.5703125" style="3" customWidth="1"/>
    <col min="2311" max="2311" width="12.42578125" style="3" customWidth="1"/>
    <col min="2312" max="2312" width="12.42578125" style="3" bestFit="1" customWidth="1"/>
    <col min="2313" max="2313" width="12.140625" style="3" customWidth="1"/>
    <col min="2314" max="2314" width="8.5703125" style="3" customWidth="1"/>
    <col min="2315" max="2315" width="12.42578125" style="3" customWidth="1"/>
    <col min="2316" max="2316" width="12.42578125" style="3" bestFit="1" customWidth="1"/>
    <col min="2317" max="2317" width="12.140625" style="3" customWidth="1"/>
    <col min="2318" max="2318" width="8.5703125" style="3" customWidth="1"/>
    <col min="2319" max="2319" width="12.42578125" style="3" customWidth="1"/>
    <col min="2320" max="2320" width="12.42578125" style="3" bestFit="1" customWidth="1"/>
    <col min="2321" max="2321" width="12.140625" style="3" customWidth="1"/>
    <col min="2322" max="2322" width="8.5703125" style="3" customWidth="1"/>
    <col min="2323" max="2323" width="12.42578125" style="3" customWidth="1"/>
    <col min="2324" max="2324" width="12.42578125" style="3" bestFit="1" customWidth="1"/>
    <col min="2325" max="2325" width="12.140625" style="3" customWidth="1"/>
    <col min="2326" max="2326" width="8.5703125" style="3" customWidth="1"/>
    <col min="2327" max="2327" width="12.42578125" style="3" customWidth="1"/>
    <col min="2328" max="2328" width="12.42578125" style="3" bestFit="1" customWidth="1"/>
    <col min="2329" max="2329" width="12.140625" style="3" customWidth="1"/>
    <col min="2330" max="2330" width="8.5703125" style="3" customWidth="1"/>
    <col min="2331" max="2331" width="12.42578125" style="3" customWidth="1"/>
    <col min="2332" max="2332" width="12.42578125" style="3" bestFit="1" customWidth="1"/>
    <col min="2333" max="2333" width="12.140625" style="3" customWidth="1"/>
    <col min="2334" max="2334" width="8.5703125" style="3" customWidth="1"/>
    <col min="2335" max="2335" width="12.42578125" style="3" customWidth="1"/>
    <col min="2336" max="2336" width="12.42578125" style="3" bestFit="1" customWidth="1"/>
    <col min="2337" max="2337" width="12.140625" style="3" customWidth="1"/>
    <col min="2338" max="2338" width="8.5703125" style="3" customWidth="1"/>
    <col min="2339" max="2339" width="12.42578125" style="3" customWidth="1"/>
    <col min="2340" max="2340" width="12.42578125" style="3" bestFit="1" customWidth="1"/>
    <col min="2341" max="2341" width="12.140625" style="3" customWidth="1"/>
    <col min="2342" max="2342" width="8.5703125" style="3" customWidth="1"/>
    <col min="2343" max="2343" width="12.42578125" style="3" customWidth="1"/>
    <col min="2344" max="2344" width="12.42578125" style="3" bestFit="1" customWidth="1"/>
    <col min="2345" max="2345" width="12.140625" style="3" customWidth="1"/>
    <col min="2346" max="2346" width="8.5703125" style="3" customWidth="1"/>
    <col min="2347" max="2347" width="12.42578125" style="3" customWidth="1"/>
    <col min="2348" max="2348" width="12.42578125" style="3" bestFit="1" customWidth="1"/>
    <col min="2349" max="2349" width="12.140625" style="3" customWidth="1"/>
    <col min="2350" max="2350" width="8.5703125" style="3" customWidth="1"/>
    <col min="2351" max="2351" width="12.42578125" style="3" customWidth="1"/>
    <col min="2352" max="2352" width="12.42578125" style="3" bestFit="1" customWidth="1"/>
    <col min="2353" max="2353" width="12.140625" style="3" customWidth="1"/>
    <col min="2354" max="2354" width="8.5703125" style="3" customWidth="1"/>
    <col min="2355" max="2355" width="12.42578125" style="3" customWidth="1"/>
    <col min="2356" max="2356" width="14.28515625" style="3" customWidth="1"/>
    <col min="2357" max="2359" width="12.42578125" style="3" customWidth="1"/>
    <col min="2360" max="2360" width="17.85546875" style="3" customWidth="1"/>
    <col min="2361" max="2361" width="17.5703125" style="3" customWidth="1"/>
    <col min="2362" max="2362" width="14.28515625" style="3" customWidth="1"/>
    <col min="2363" max="2363" width="10.28515625" style="3" customWidth="1"/>
    <col min="2364" max="2502" width="8.85546875" style="3" customWidth="1"/>
    <col min="2503" max="2503" width="3.28515625" style="3" customWidth="1"/>
    <col min="2504" max="2504" width="4.7109375" style="3" customWidth="1"/>
    <col min="2505" max="2505" width="16.7109375" style="3" customWidth="1"/>
    <col min="2506" max="2537" width="8.85546875" style="3" customWidth="1"/>
    <col min="2538" max="2538" width="12" style="3" customWidth="1"/>
    <col min="2539" max="2540" width="8.85546875" style="3" customWidth="1"/>
    <col min="2541" max="2541" width="10.42578125" style="3" customWidth="1"/>
    <col min="2542" max="2542" width="12.85546875" style="3" customWidth="1"/>
    <col min="2543" max="2543" width="9.28515625" style="3" bestFit="1" customWidth="1"/>
    <col min="2544" max="2544" width="8.85546875" style="3" customWidth="1"/>
    <col min="2545" max="2545" width="11.7109375" style="3" customWidth="1"/>
    <col min="2546" max="2546" width="12.140625" style="3" customWidth="1"/>
    <col min="2547" max="2547" width="9.28515625" style="3" bestFit="1" customWidth="1"/>
    <col min="2548" max="2548" width="8.85546875" style="3" customWidth="1"/>
    <col min="2549" max="2550" width="11.7109375" style="3" customWidth="1"/>
    <col min="2551" max="2551" width="9.28515625" style="3" bestFit="1" customWidth="1"/>
    <col min="2552" max="2552" width="8.85546875" style="3" customWidth="1"/>
    <col min="2553" max="2553" width="11.85546875" style="3" bestFit="1" customWidth="1"/>
    <col min="2554" max="2555" width="8.85546875" style="3" customWidth="1"/>
    <col min="2556" max="2556" width="12.28515625" style="3" bestFit="1" customWidth="1"/>
    <col min="2557" max="2557" width="10.85546875" style="3" customWidth="1"/>
    <col min="2558" max="2558" width="9.7109375" style="3" customWidth="1"/>
    <col min="2559" max="2559" width="13.28515625" style="3" customWidth="1"/>
    <col min="2560" max="2560" width="9.5703125" style="3"/>
    <col min="2561" max="2561" width="3.28515625" style="3" customWidth="1"/>
    <col min="2562" max="2562" width="11.28515625" style="3" bestFit="1" customWidth="1"/>
    <col min="2563" max="2563" width="20.5703125" style="3" customWidth="1"/>
    <col min="2564" max="2564" width="13.5703125" style="3" customWidth="1"/>
    <col min="2565" max="2565" width="12.140625" style="3" customWidth="1"/>
    <col min="2566" max="2566" width="8.5703125" style="3" customWidth="1"/>
    <col min="2567" max="2567" width="12.42578125" style="3" customWidth="1"/>
    <col min="2568" max="2568" width="12.42578125" style="3" bestFit="1" customWidth="1"/>
    <col min="2569" max="2569" width="12.140625" style="3" customWidth="1"/>
    <col min="2570" max="2570" width="8.5703125" style="3" customWidth="1"/>
    <col min="2571" max="2571" width="12.42578125" style="3" customWidth="1"/>
    <col min="2572" max="2572" width="12.42578125" style="3" bestFit="1" customWidth="1"/>
    <col min="2573" max="2573" width="12.140625" style="3" customWidth="1"/>
    <col min="2574" max="2574" width="8.5703125" style="3" customWidth="1"/>
    <col min="2575" max="2575" width="12.42578125" style="3" customWidth="1"/>
    <col min="2576" max="2576" width="12.42578125" style="3" bestFit="1" customWidth="1"/>
    <col min="2577" max="2577" width="12.140625" style="3" customWidth="1"/>
    <col min="2578" max="2578" width="8.5703125" style="3" customWidth="1"/>
    <col min="2579" max="2579" width="12.42578125" style="3" customWidth="1"/>
    <col min="2580" max="2580" width="12.42578125" style="3" bestFit="1" customWidth="1"/>
    <col min="2581" max="2581" width="12.140625" style="3" customWidth="1"/>
    <col min="2582" max="2582" width="8.5703125" style="3" customWidth="1"/>
    <col min="2583" max="2583" width="12.42578125" style="3" customWidth="1"/>
    <col min="2584" max="2584" width="12.42578125" style="3" bestFit="1" customWidth="1"/>
    <col min="2585" max="2585" width="12.140625" style="3" customWidth="1"/>
    <col min="2586" max="2586" width="8.5703125" style="3" customWidth="1"/>
    <col min="2587" max="2587" width="12.42578125" style="3" customWidth="1"/>
    <col min="2588" max="2588" width="12.42578125" style="3" bestFit="1" customWidth="1"/>
    <col min="2589" max="2589" width="12.140625" style="3" customWidth="1"/>
    <col min="2590" max="2590" width="8.5703125" style="3" customWidth="1"/>
    <col min="2591" max="2591" width="12.42578125" style="3" customWidth="1"/>
    <col min="2592" max="2592" width="12.42578125" style="3" bestFit="1" customWidth="1"/>
    <col min="2593" max="2593" width="12.140625" style="3" customWidth="1"/>
    <col min="2594" max="2594" width="8.5703125" style="3" customWidth="1"/>
    <col min="2595" max="2595" width="12.42578125" style="3" customWidth="1"/>
    <col min="2596" max="2596" width="12.42578125" style="3" bestFit="1" customWidth="1"/>
    <col min="2597" max="2597" width="12.140625" style="3" customWidth="1"/>
    <col min="2598" max="2598" width="8.5703125" style="3" customWidth="1"/>
    <col min="2599" max="2599" width="12.42578125" style="3" customWidth="1"/>
    <col min="2600" max="2600" width="12.42578125" style="3" bestFit="1" customWidth="1"/>
    <col min="2601" max="2601" width="12.140625" style="3" customWidth="1"/>
    <col min="2602" max="2602" width="8.5703125" style="3" customWidth="1"/>
    <col min="2603" max="2603" width="12.42578125" style="3" customWidth="1"/>
    <col min="2604" max="2604" width="12.42578125" style="3" bestFit="1" customWidth="1"/>
    <col min="2605" max="2605" width="12.140625" style="3" customWidth="1"/>
    <col min="2606" max="2606" width="8.5703125" style="3" customWidth="1"/>
    <col min="2607" max="2607" width="12.42578125" style="3" customWidth="1"/>
    <col min="2608" max="2608" width="12.42578125" style="3" bestFit="1" customWidth="1"/>
    <col min="2609" max="2609" width="12.140625" style="3" customWidth="1"/>
    <col min="2610" max="2610" width="8.5703125" style="3" customWidth="1"/>
    <col min="2611" max="2611" width="12.42578125" style="3" customWidth="1"/>
    <col min="2612" max="2612" width="14.28515625" style="3" customWidth="1"/>
    <col min="2613" max="2615" width="12.42578125" style="3" customWidth="1"/>
    <col min="2616" max="2616" width="17.85546875" style="3" customWidth="1"/>
    <col min="2617" max="2617" width="17.5703125" style="3" customWidth="1"/>
    <col min="2618" max="2618" width="14.28515625" style="3" customWidth="1"/>
    <col min="2619" max="2619" width="10.28515625" style="3" customWidth="1"/>
    <col min="2620" max="2758" width="8.85546875" style="3" customWidth="1"/>
    <col min="2759" max="2759" width="3.28515625" style="3" customWidth="1"/>
    <col min="2760" max="2760" width="4.7109375" style="3" customWidth="1"/>
    <col min="2761" max="2761" width="16.7109375" style="3" customWidth="1"/>
    <col min="2762" max="2793" width="8.85546875" style="3" customWidth="1"/>
    <col min="2794" max="2794" width="12" style="3" customWidth="1"/>
    <col min="2795" max="2796" width="8.85546875" style="3" customWidth="1"/>
    <col min="2797" max="2797" width="10.42578125" style="3" customWidth="1"/>
    <col min="2798" max="2798" width="12.85546875" style="3" customWidth="1"/>
    <col min="2799" max="2799" width="9.28515625" style="3" bestFit="1" customWidth="1"/>
    <col min="2800" max="2800" width="8.85546875" style="3" customWidth="1"/>
    <col min="2801" max="2801" width="11.7109375" style="3" customWidth="1"/>
    <col min="2802" max="2802" width="12.140625" style="3" customWidth="1"/>
    <col min="2803" max="2803" width="9.28515625" style="3" bestFit="1" customWidth="1"/>
    <col min="2804" max="2804" width="8.85546875" style="3" customWidth="1"/>
    <col min="2805" max="2806" width="11.7109375" style="3" customWidth="1"/>
    <col min="2807" max="2807" width="9.28515625" style="3" bestFit="1" customWidth="1"/>
    <col min="2808" max="2808" width="8.85546875" style="3" customWidth="1"/>
    <col min="2809" max="2809" width="11.85546875" style="3" bestFit="1" customWidth="1"/>
    <col min="2810" max="2811" width="8.85546875" style="3" customWidth="1"/>
    <col min="2812" max="2812" width="12.28515625" style="3" bestFit="1" customWidth="1"/>
    <col min="2813" max="2813" width="10.85546875" style="3" customWidth="1"/>
    <col min="2814" max="2814" width="9.7109375" style="3" customWidth="1"/>
    <col min="2815" max="2815" width="13.28515625" style="3" customWidth="1"/>
    <col min="2816" max="2816" width="9.5703125" style="3"/>
    <col min="2817" max="2817" width="3.28515625" style="3" customWidth="1"/>
    <col min="2818" max="2818" width="11.28515625" style="3" bestFit="1" customWidth="1"/>
    <col min="2819" max="2819" width="20.5703125" style="3" customWidth="1"/>
    <col min="2820" max="2820" width="13.5703125" style="3" customWidth="1"/>
    <col min="2821" max="2821" width="12.140625" style="3" customWidth="1"/>
    <col min="2822" max="2822" width="8.5703125" style="3" customWidth="1"/>
    <col min="2823" max="2823" width="12.42578125" style="3" customWidth="1"/>
    <col min="2824" max="2824" width="12.42578125" style="3" bestFit="1" customWidth="1"/>
    <col min="2825" max="2825" width="12.140625" style="3" customWidth="1"/>
    <col min="2826" max="2826" width="8.5703125" style="3" customWidth="1"/>
    <col min="2827" max="2827" width="12.42578125" style="3" customWidth="1"/>
    <col min="2828" max="2828" width="12.42578125" style="3" bestFit="1" customWidth="1"/>
    <col min="2829" max="2829" width="12.140625" style="3" customWidth="1"/>
    <col min="2830" max="2830" width="8.5703125" style="3" customWidth="1"/>
    <col min="2831" max="2831" width="12.42578125" style="3" customWidth="1"/>
    <col min="2832" max="2832" width="12.42578125" style="3" bestFit="1" customWidth="1"/>
    <col min="2833" max="2833" width="12.140625" style="3" customWidth="1"/>
    <col min="2834" max="2834" width="8.5703125" style="3" customWidth="1"/>
    <col min="2835" max="2835" width="12.42578125" style="3" customWidth="1"/>
    <col min="2836" max="2836" width="12.42578125" style="3" bestFit="1" customWidth="1"/>
    <col min="2837" max="2837" width="12.140625" style="3" customWidth="1"/>
    <col min="2838" max="2838" width="8.5703125" style="3" customWidth="1"/>
    <col min="2839" max="2839" width="12.42578125" style="3" customWidth="1"/>
    <col min="2840" max="2840" width="12.42578125" style="3" bestFit="1" customWidth="1"/>
    <col min="2841" max="2841" width="12.140625" style="3" customWidth="1"/>
    <col min="2842" max="2842" width="8.5703125" style="3" customWidth="1"/>
    <col min="2843" max="2843" width="12.42578125" style="3" customWidth="1"/>
    <col min="2844" max="2844" width="12.42578125" style="3" bestFit="1" customWidth="1"/>
    <col min="2845" max="2845" width="12.140625" style="3" customWidth="1"/>
    <col min="2846" max="2846" width="8.5703125" style="3" customWidth="1"/>
    <col min="2847" max="2847" width="12.42578125" style="3" customWidth="1"/>
    <col min="2848" max="2848" width="12.42578125" style="3" bestFit="1" customWidth="1"/>
    <col min="2849" max="2849" width="12.140625" style="3" customWidth="1"/>
    <col min="2850" max="2850" width="8.5703125" style="3" customWidth="1"/>
    <col min="2851" max="2851" width="12.42578125" style="3" customWidth="1"/>
    <col min="2852" max="2852" width="12.42578125" style="3" bestFit="1" customWidth="1"/>
    <col min="2853" max="2853" width="12.140625" style="3" customWidth="1"/>
    <col min="2854" max="2854" width="8.5703125" style="3" customWidth="1"/>
    <col min="2855" max="2855" width="12.42578125" style="3" customWidth="1"/>
    <col min="2856" max="2856" width="12.42578125" style="3" bestFit="1" customWidth="1"/>
    <col min="2857" max="2857" width="12.140625" style="3" customWidth="1"/>
    <col min="2858" max="2858" width="8.5703125" style="3" customWidth="1"/>
    <col min="2859" max="2859" width="12.42578125" style="3" customWidth="1"/>
    <col min="2860" max="2860" width="12.42578125" style="3" bestFit="1" customWidth="1"/>
    <col min="2861" max="2861" width="12.140625" style="3" customWidth="1"/>
    <col min="2862" max="2862" width="8.5703125" style="3" customWidth="1"/>
    <col min="2863" max="2863" width="12.42578125" style="3" customWidth="1"/>
    <col min="2864" max="2864" width="12.42578125" style="3" bestFit="1" customWidth="1"/>
    <col min="2865" max="2865" width="12.140625" style="3" customWidth="1"/>
    <col min="2866" max="2866" width="8.5703125" style="3" customWidth="1"/>
    <col min="2867" max="2867" width="12.42578125" style="3" customWidth="1"/>
    <col min="2868" max="2868" width="14.28515625" style="3" customWidth="1"/>
    <col min="2869" max="2871" width="12.42578125" style="3" customWidth="1"/>
    <col min="2872" max="2872" width="17.85546875" style="3" customWidth="1"/>
    <col min="2873" max="2873" width="17.5703125" style="3" customWidth="1"/>
    <col min="2874" max="2874" width="14.28515625" style="3" customWidth="1"/>
    <col min="2875" max="2875" width="10.28515625" style="3" customWidth="1"/>
    <col min="2876" max="3014" width="8.85546875" style="3" customWidth="1"/>
    <col min="3015" max="3015" width="3.28515625" style="3" customWidth="1"/>
    <col min="3016" max="3016" width="4.7109375" style="3" customWidth="1"/>
    <col min="3017" max="3017" width="16.7109375" style="3" customWidth="1"/>
    <col min="3018" max="3049" width="8.85546875" style="3" customWidth="1"/>
    <col min="3050" max="3050" width="12" style="3" customWidth="1"/>
    <col min="3051" max="3052" width="8.85546875" style="3" customWidth="1"/>
    <col min="3053" max="3053" width="10.42578125" style="3" customWidth="1"/>
    <col min="3054" max="3054" width="12.85546875" style="3" customWidth="1"/>
    <col min="3055" max="3055" width="9.28515625" style="3" bestFit="1" customWidth="1"/>
    <col min="3056" max="3056" width="8.85546875" style="3" customWidth="1"/>
    <col min="3057" max="3057" width="11.7109375" style="3" customWidth="1"/>
    <col min="3058" max="3058" width="12.140625" style="3" customWidth="1"/>
    <col min="3059" max="3059" width="9.28515625" style="3" bestFit="1" customWidth="1"/>
    <col min="3060" max="3060" width="8.85546875" style="3" customWidth="1"/>
    <col min="3061" max="3062" width="11.7109375" style="3" customWidth="1"/>
    <col min="3063" max="3063" width="9.28515625" style="3" bestFit="1" customWidth="1"/>
    <col min="3064" max="3064" width="8.85546875" style="3" customWidth="1"/>
    <col min="3065" max="3065" width="11.85546875" style="3" bestFit="1" customWidth="1"/>
    <col min="3066" max="3067" width="8.85546875" style="3" customWidth="1"/>
    <col min="3068" max="3068" width="12.28515625" style="3" bestFit="1" customWidth="1"/>
    <col min="3069" max="3069" width="10.85546875" style="3" customWidth="1"/>
    <col min="3070" max="3070" width="9.7109375" style="3" customWidth="1"/>
    <col min="3071" max="3071" width="13.28515625" style="3" customWidth="1"/>
    <col min="3072" max="3072" width="9.5703125" style="3"/>
    <col min="3073" max="3073" width="3.28515625" style="3" customWidth="1"/>
    <col min="3074" max="3074" width="11.28515625" style="3" bestFit="1" customWidth="1"/>
    <col min="3075" max="3075" width="20.5703125" style="3" customWidth="1"/>
    <col min="3076" max="3076" width="13.5703125" style="3" customWidth="1"/>
    <col min="3077" max="3077" width="12.140625" style="3" customWidth="1"/>
    <col min="3078" max="3078" width="8.5703125" style="3" customWidth="1"/>
    <col min="3079" max="3079" width="12.42578125" style="3" customWidth="1"/>
    <col min="3080" max="3080" width="12.42578125" style="3" bestFit="1" customWidth="1"/>
    <col min="3081" max="3081" width="12.140625" style="3" customWidth="1"/>
    <col min="3082" max="3082" width="8.5703125" style="3" customWidth="1"/>
    <col min="3083" max="3083" width="12.42578125" style="3" customWidth="1"/>
    <col min="3084" max="3084" width="12.42578125" style="3" bestFit="1" customWidth="1"/>
    <col min="3085" max="3085" width="12.140625" style="3" customWidth="1"/>
    <col min="3086" max="3086" width="8.5703125" style="3" customWidth="1"/>
    <col min="3087" max="3087" width="12.42578125" style="3" customWidth="1"/>
    <col min="3088" max="3088" width="12.42578125" style="3" bestFit="1" customWidth="1"/>
    <col min="3089" max="3089" width="12.140625" style="3" customWidth="1"/>
    <col min="3090" max="3090" width="8.5703125" style="3" customWidth="1"/>
    <col min="3091" max="3091" width="12.42578125" style="3" customWidth="1"/>
    <col min="3092" max="3092" width="12.42578125" style="3" bestFit="1" customWidth="1"/>
    <col min="3093" max="3093" width="12.140625" style="3" customWidth="1"/>
    <col min="3094" max="3094" width="8.5703125" style="3" customWidth="1"/>
    <col min="3095" max="3095" width="12.42578125" style="3" customWidth="1"/>
    <col min="3096" max="3096" width="12.42578125" style="3" bestFit="1" customWidth="1"/>
    <col min="3097" max="3097" width="12.140625" style="3" customWidth="1"/>
    <col min="3098" max="3098" width="8.5703125" style="3" customWidth="1"/>
    <col min="3099" max="3099" width="12.42578125" style="3" customWidth="1"/>
    <col min="3100" max="3100" width="12.42578125" style="3" bestFit="1" customWidth="1"/>
    <col min="3101" max="3101" width="12.140625" style="3" customWidth="1"/>
    <col min="3102" max="3102" width="8.5703125" style="3" customWidth="1"/>
    <col min="3103" max="3103" width="12.42578125" style="3" customWidth="1"/>
    <col min="3104" max="3104" width="12.42578125" style="3" bestFit="1" customWidth="1"/>
    <col min="3105" max="3105" width="12.140625" style="3" customWidth="1"/>
    <col min="3106" max="3106" width="8.5703125" style="3" customWidth="1"/>
    <col min="3107" max="3107" width="12.42578125" style="3" customWidth="1"/>
    <col min="3108" max="3108" width="12.42578125" style="3" bestFit="1" customWidth="1"/>
    <col min="3109" max="3109" width="12.140625" style="3" customWidth="1"/>
    <col min="3110" max="3110" width="8.5703125" style="3" customWidth="1"/>
    <col min="3111" max="3111" width="12.42578125" style="3" customWidth="1"/>
    <col min="3112" max="3112" width="12.42578125" style="3" bestFit="1" customWidth="1"/>
    <col min="3113" max="3113" width="12.140625" style="3" customWidth="1"/>
    <col min="3114" max="3114" width="8.5703125" style="3" customWidth="1"/>
    <col min="3115" max="3115" width="12.42578125" style="3" customWidth="1"/>
    <col min="3116" max="3116" width="12.42578125" style="3" bestFit="1" customWidth="1"/>
    <col min="3117" max="3117" width="12.140625" style="3" customWidth="1"/>
    <col min="3118" max="3118" width="8.5703125" style="3" customWidth="1"/>
    <col min="3119" max="3119" width="12.42578125" style="3" customWidth="1"/>
    <col min="3120" max="3120" width="12.42578125" style="3" bestFit="1" customWidth="1"/>
    <col min="3121" max="3121" width="12.140625" style="3" customWidth="1"/>
    <col min="3122" max="3122" width="8.5703125" style="3" customWidth="1"/>
    <col min="3123" max="3123" width="12.42578125" style="3" customWidth="1"/>
    <col min="3124" max="3124" width="14.28515625" style="3" customWidth="1"/>
    <col min="3125" max="3127" width="12.42578125" style="3" customWidth="1"/>
    <col min="3128" max="3128" width="17.85546875" style="3" customWidth="1"/>
    <col min="3129" max="3129" width="17.5703125" style="3" customWidth="1"/>
    <col min="3130" max="3130" width="14.28515625" style="3" customWidth="1"/>
    <col min="3131" max="3131" width="10.28515625" style="3" customWidth="1"/>
    <col min="3132" max="3270" width="8.85546875" style="3" customWidth="1"/>
    <col min="3271" max="3271" width="3.28515625" style="3" customWidth="1"/>
    <col min="3272" max="3272" width="4.7109375" style="3" customWidth="1"/>
    <col min="3273" max="3273" width="16.7109375" style="3" customWidth="1"/>
    <col min="3274" max="3305" width="8.85546875" style="3" customWidth="1"/>
    <col min="3306" max="3306" width="12" style="3" customWidth="1"/>
    <col min="3307" max="3308" width="8.85546875" style="3" customWidth="1"/>
    <col min="3309" max="3309" width="10.42578125" style="3" customWidth="1"/>
    <col min="3310" max="3310" width="12.85546875" style="3" customWidth="1"/>
    <col min="3311" max="3311" width="9.28515625" style="3" bestFit="1" customWidth="1"/>
    <col min="3312" max="3312" width="8.85546875" style="3" customWidth="1"/>
    <col min="3313" max="3313" width="11.7109375" style="3" customWidth="1"/>
    <col min="3314" max="3314" width="12.140625" style="3" customWidth="1"/>
    <col min="3315" max="3315" width="9.28515625" style="3" bestFit="1" customWidth="1"/>
    <col min="3316" max="3316" width="8.85546875" style="3" customWidth="1"/>
    <col min="3317" max="3318" width="11.7109375" style="3" customWidth="1"/>
    <col min="3319" max="3319" width="9.28515625" style="3" bestFit="1" customWidth="1"/>
    <col min="3320" max="3320" width="8.85546875" style="3" customWidth="1"/>
    <col min="3321" max="3321" width="11.85546875" style="3" bestFit="1" customWidth="1"/>
    <col min="3322" max="3323" width="8.85546875" style="3" customWidth="1"/>
    <col min="3324" max="3324" width="12.28515625" style="3" bestFit="1" customWidth="1"/>
    <col min="3325" max="3325" width="10.85546875" style="3" customWidth="1"/>
    <col min="3326" max="3326" width="9.7109375" style="3" customWidth="1"/>
    <col min="3327" max="3327" width="13.28515625" style="3" customWidth="1"/>
    <col min="3328" max="3328" width="9.5703125" style="3"/>
    <col min="3329" max="3329" width="3.28515625" style="3" customWidth="1"/>
    <col min="3330" max="3330" width="11.28515625" style="3" bestFit="1" customWidth="1"/>
    <col min="3331" max="3331" width="20.5703125" style="3" customWidth="1"/>
    <col min="3332" max="3332" width="13.5703125" style="3" customWidth="1"/>
    <col min="3333" max="3333" width="12.140625" style="3" customWidth="1"/>
    <col min="3334" max="3334" width="8.5703125" style="3" customWidth="1"/>
    <col min="3335" max="3335" width="12.42578125" style="3" customWidth="1"/>
    <col min="3336" max="3336" width="12.42578125" style="3" bestFit="1" customWidth="1"/>
    <col min="3337" max="3337" width="12.140625" style="3" customWidth="1"/>
    <col min="3338" max="3338" width="8.5703125" style="3" customWidth="1"/>
    <col min="3339" max="3339" width="12.42578125" style="3" customWidth="1"/>
    <col min="3340" max="3340" width="12.42578125" style="3" bestFit="1" customWidth="1"/>
    <col min="3341" max="3341" width="12.140625" style="3" customWidth="1"/>
    <col min="3342" max="3342" width="8.5703125" style="3" customWidth="1"/>
    <col min="3343" max="3343" width="12.42578125" style="3" customWidth="1"/>
    <col min="3344" max="3344" width="12.42578125" style="3" bestFit="1" customWidth="1"/>
    <col min="3345" max="3345" width="12.140625" style="3" customWidth="1"/>
    <col min="3346" max="3346" width="8.5703125" style="3" customWidth="1"/>
    <col min="3347" max="3347" width="12.42578125" style="3" customWidth="1"/>
    <col min="3348" max="3348" width="12.42578125" style="3" bestFit="1" customWidth="1"/>
    <col min="3349" max="3349" width="12.140625" style="3" customWidth="1"/>
    <col min="3350" max="3350" width="8.5703125" style="3" customWidth="1"/>
    <col min="3351" max="3351" width="12.42578125" style="3" customWidth="1"/>
    <col min="3352" max="3352" width="12.42578125" style="3" bestFit="1" customWidth="1"/>
    <col min="3353" max="3353" width="12.140625" style="3" customWidth="1"/>
    <col min="3354" max="3354" width="8.5703125" style="3" customWidth="1"/>
    <col min="3355" max="3355" width="12.42578125" style="3" customWidth="1"/>
    <col min="3356" max="3356" width="12.42578125" style="3" bestFit="1" customWidth="1"/>
    <col min="3357" max="3357" width="12.140625" style="3" customWidth="1"/>
    <col min="3358" max="3358" width="8.5703125" style="3" customWidth="1"/>
    <col min="3359" max="3359" width="12.42578125" style="3" customWidth="1"/>
    <col min="3360" max="3360" width="12.42578125" style="3" bestFit="1" customWidth="1"/>
    <col min="3361" max="3361" width="12.140625" style="3" customWidth="1"/>
    <col min="3362" max="3362" width="8.5703125" style="3" customWidth="1"/>
    <col min="3363" max="3363" width="12.42578125" style="3" customWidth="1"/>
    <col min="3364" max="3364" width="12.42578125" style="3" bestFit="1" customWidth="1"/>
    <col min="3365" max="3365" width="12.140625" style="3" customWidth="1"/>
    <col min="3366" max="3366" width="8.5703125" style="3" customWidth="1"/>
    <col min="3367" max="3367" width="12.42578125" style="3" customWidth="1"/>
    <col min="3368" max="3368" width="12.42578125" style="3" bestFit="1" customWidth="1"/>
    <col min="3369" max="3369" width="12.140625" style="3" customWidth="1"/>
    <col min="3370" max="3370" width="8.5703125" style="3" customWidth="1"/>
    <col min="3371" max="3371" width="12.42578125" style="3" customWidth="1"/>
    <col min="3372" max="3372" width="12.42578125" style="3" bestFit="1" customWidth="1"/>
    <col min="3373" max="3373" width="12.140625" style="3" customWidth="1"/>
    <col min="3374" max="3374" width="8.5703125" style="3" customWidth="1"/>
    <col min="3375" max="3375" width="12.42578125" style="3" customWidth="1"/>
    <col min="3376" max="3376" width="12.42578125" style="3" bestFit="1" customWidth="1"/>
    <col min="3377" max="3377" width="12.140625" style="3" customWidth="1"/>
    <col min="3378" max="3378" width="8.5703125" style="3" customWidth="1"/>
    <col min="3379" max="3379" width="12.42578125" style="3" customWidth="1"/>
    <col min="3380" max="3380" width="14.28515625" style="3" customWidth="1"/>
    <col min="3381" max="3383" width="12.42578125" style="3" customWidth="1"/>
    <col min="3384" max="3384" width="17.85546875" style="3" customWidth="1"/>
    <col min="3385" max="3385" width="17.5703125" style="3" customWidth="1"/>
    <col min="3386" max="3386" width="14.28515625" style="3" customWidth="1"/>
    <col min="3387" max="3387" width="10.28515625" style="3" customWidth="1"/>
    <col min="3388" max="3526" width="8.85546875" style="3" customWidth="1"/>
    <col min="3527" max="3527" width="3.28515625" style="3" customWidth="1"/>
    <col min="3528" max="3528" width="4.7109375" style="3" customWidth="1"/>
    <col min="3529" max="3529" width="16.7109375" style="3" customWidth="1"/>
    <col min="3530" max="3561" width="8.85546875" style="3" customWidth="1"/>
    <col min="3562" max="3562" width="12" style="3" customWidth="1"/>
    <col min="3563" max="3564" width="8.85546875" style="3" customWidth="1"/>
    <col min="3565" max="3565" width="10.42578125" style="3" customWidth="1"/>
    <col min="3566" max="3566" width="12.85546875" style="3" customWidth="1"/>
    <col min="3567" max="3567" width="9.28515625" style="3" bestFit="1" customWidth="1"/>
    <col min="3568" max="3568" width="8.85546875" style="3" customWidth="1"/>
    <col min="3569" max="3569" width="11.7109375" style="3" customWidth="1"/>
    <col min="3570" max="3570" width="12.140625" style="3" customWidth="1"/>
    <col min="3571" max="3571" width="9.28515625" style="3" bestFit="1" customWidth="1"/>
    <col min="3572" max="3572" width="8.85546875" style="3" customWidth="1"/>
    <col min="3573" max="3574" width="11.7109375" style="3" customWidth="1"/>
    <col min="3575" max="3575" width="9.28515625" style="3" bestFit="1" customWidth="1"/>
    <col min="3576" max="3576" width="8.85546875" style="3" customWidth="1"/>
    <col min="3577" max="3577" width="11.85546875" style="3" bestFit="1" customWidth="1"/>
    <col min="3578" max="3579" width="8.85546875" style="3" customWidth="1"/>
    <col min="3580" max="3580" width="12.28515625" style="3" bestFit="1" customWidth="1"/>
    <col min="3581" max="3581" width="10.85546875" style="3" customWidth="1"/>
    <col min="3582" max="3582" width="9.7109375" style="3" customWidth="1"/>
    <col min="3583" max="3583" width="13.28515625" style="3" customWidth="1"/>
    <col min="3584" max="3584" width="9.5703125" style="3"/>
    <col min="3585" max="3585" width="3.28515625" style="3" customWidth="1"/>
    <col min="3586" max="3586" width="11.28515625" style="3" bestFit="1" customWidth="1"/>
    <col min="3587" max="3587" width="20.5703125" style="3" customWidth="1"/>
    <col min="3588" max="3588" width="13.5703125" style="3" customWidth="1"/>
    <col min="3589" max="3589" width="12.140625" style="3" customWidth="1"/>
    <col min="3590" max="3590" width="8.5703125" style="3" customWidth="1"/>
    <col min="3591" max="3591" width="12.42578125" style="3" customWidth="1"/>
    <col min="3592" max="3592" width="12.42578125" style="3" bestFit="1" customWidth="1"/>
    <col min="3593" max="3593" width="12.140625" style="3" customWidth="1"/>
    <col min="3594" max="3594" width="8.5703125" style="3" customWidth="1"/>
    <col min="3595" max="3595" width="12.42578125" style="3" customWidth="1"/>
    <col min="3596" max="3596" width="12.42578125" style="3" bestFit="1" customWidth="1"/>
    <col min="3597" max="3597" width="12.140625" style="3" customWidth="1"/>
    <col min="3598" max="3598" width="8.5703125" style="3" customWidth="1"/>
    <col min="3599" max="3599" width="12.42578125" style="3" customWidth="1"/>
    <col min="3600" max="3600" width="12.42578125" style="3" bestFit="1" customWidth="1"/>
    <col min="3601" max="3601" width="12.140625" style="3" customWidth="1"/>
    <col min="3602" max="3602" width="8.5703125" style="3" customWidth="1"/>
    <col min="3603" max="3603" width="12.42578125" style="3" customWidth="1"/>
    <col min="3604" max="3604" width="12.42578125" style="3" bestFit="1" customWidth="1"/>
    <col min="3605" max="3605" width="12.140625" style="3" customWidth="1"/>
    <col min="3606" max="3606" width="8.5703125" style="3" customWidth="1"/>
    <col min="3607" max="3607" width="12.42578125" style="3" customWidth="1"/>
    <col min="3608" max="3608" width="12.42578125" style="3" bestFit="1" customWidth="1"/>
    <col min="3609" max="3609" width="12.140625" style="3" customWidth="1"/>
    <col min="3610" max="3610" width="8.5703125" style="3" customWidth="1"/>
    <col min="3611" max="3611" width="12.42578125" style="3" customWidth="1"/>
    <col min="3612" max="3612" width="12.42578125" style="3" bestFit="1" customWidth="1"/>
    <col min="3613" max="3613" width="12.140625" style="3" customWidth="1"/>
    <col min="3614" max="3614" width="8.5703125" style="3" customWidth="1"/>
    <col min="3615" max="3615" width="12.42578125" style="3" customWidth="1"/>
    <col min="3616" max="3616" width="12.42578125" style="3" bestFit="1" customWidth="1"/>
    <col min="3617" max="3617" width="12.140625" style="3" customWidth="1"/>
    <col min="3618" max="3618" width="8.5703125" style="3" customWidth="1"/>
    <col min="3619" max="3619" width="12.42578125" style="3" customWidth="1"/>
    <col min="3620" max="3620" width="12.42578125" style="3" bestFit="1" customWidth="1"/>
    <col min="3621" max="3621" width="12.140625" style="3" customWidth="1"/>
    <col min="3622" max="3622" width="8.5703125" style="3" customWidth="1"/>
    <col min="3623" max="3623" width="12.42578125" style="3" customWidth="1"/>
    <col min="3624" max="3624" width="12.42578125" style="3" bestFit="1" customWidth="1"/>
    <col min="3625" max="3625" width="12.140625" style="3" customWidth="1"/>
    <col min="3626" max="3626" width="8.5703125" style="3" customWidth="1"/>
    <col min="3627" max="3627" width="12.42578125" style="3" customWidth="1"/>
    <col min="3628" max="3628" width="12.42578125" style="3" bestFit="1" customWidth="1"/>
    <col min="3629" max="3629" width="12.140625" style="3" customWidth="1"/>
    <col min="3630" max="3630" width="8.5703125" style="3" customWidth="1"/>
    <col min="3631" max="3631" width="12.42578125" style="3" customWidth="1"/>
    <col min="3632" max="3632" width="12.42578125" style="3" bestFit="1" customWidth="1"/>
    <col min="3633" max="3633" width="12.140625" style="3" customWidth="1"/>
    <col min="3634" max="3634" width="8.5703125" style="3" customWidth="1"/>
    <col min="3635" max="3635" width="12.42578125" style="3" customWidth="1"/>
    <col min="3636" max="3636" width="14.28515625" style="3" customWidth="1"/>
    <col min="3637" max="3639" width="12.42578125" style="3" customWidth="1"/>
    <col min="3640" max="3640" width="17.85546875" style="3" customWidth="1"/>
    <col min="3641" max="3641" width="17.5703125" style="3" customWidth="1"/>
    <col min="3642" max="3642" width="14.28515625" style="3" customWidth="1"/>
    <col min="3643" max="3643" width="10.28515625" style="3" customWidth="1"/>
    <col min="3644" max="3782" width="8.85546875" style="3" customWidth="1"/>
    <col min="3783" max="3783" width="3.28515625" style="3" customWidth="1"/>
    <col min="3784" max="3784" width="4.7109375" style="3" customWidth="1"/>
    <col min="3785" max="3785" width="16.7109375" style="3" customWidth="1"/>
    <col min="3786" max="3817" width="8.85546875" style="3" customWidth="1"/>
    <col min="3818" max="3818" width="12" style="3" customWidth="1"/>
    <col min="3819" max="3820" width="8.85546875" style="3" customWidth="1"/>
    <col min="3821" max="3821" width="10.42578125" style="3" customWidth="1"/>
    <col min="3822" max="3822" width="12.85546875" style="3" customWidth="1"/>
    <col min="3823" max="3823" width="9.28515625" style="3" bestFit="1" customWidth="1"/>
    <col min="3824" max="3824" width="8.85546875" style="3" customWidth="1"/>
    <col min="3825" max="3825" width="11.7109375" style="3" customWidth="1"/>
    <col min="3826" max="3826" width="12.140625" style="3" customWidth="1"/>
    <col min="3827" max="3827" width="9.28515625" style="3" bestFit="1" customWidth="1"/>
    <col min="3828" max="3828" width="8.85546875" style="3" customWidth="1"/>
    <col min="3829" max="3830" width="11.7109375" style="3" customWidth="1"/>
    <col min="3831" max="3831" width="9.28515625" style="3" bestFit="1" customWidth="1"/>
    <col min="3832" max="3832" width="8.85546875" style="3" customWidth="1"/>
    <col min="3833" max="3833" width="11.85546875" style="3" bestFit="1" customWidth="1"/>
    <col min="3834" max="3835" width="8.85546875" style="3" customWidth="1"/>
    <col min="3836" max="3836" width="12.28515625" style="3" bestFit="1" customWidth="1"/>
    <col min="3837" max="3837" width="10.85546875" style="3" customWidth="1"/>
    <col min="3838" max="3838" width="9.7109375" style="3" customWidth="1"/>
    <col min="3839" max="3839" width="13.28515625" style="3" customWidth="1"/>
    <col min="3840" max="3840" width="9.5703125" style="3"/>
    <col min="3841" max="3841" width="3.28515625" style="3" customWidth="1"/>
    <col min="3842" max="3842" width="11.28515625" style="3" bestFit="1" customWidth="1"/>
    <col min="3843" max="3843" width="20.5703125" style="3" customWidth="1"/>
    <col min="3844" max="3844" width="13.5703125" style="3" customWidth="1"/>
    <col min="3845" max="3845" width="12.140625" style="3" customWidth="1"/>
    <col min="3846" max="3846" width="8.5703125" style="3" customWidth="1"/>
    <col min="3847" max="3847" width="12.42578125" style="3" customWidth="1"/>
    <col min="3848" max="3848" width="12.42578125" style="3" bestFit="1" customWidth="1"/>
    <col min="3849" max="3849" width="12.140625" style="3" customWidth="1"/>
    <col min="3850" max="3850" width="8.5703125" style="3" customWidth="1"/>
    <col min="3851" max="3851" width="12.42578125" style="3" customWidth="1"/>
    <col min="3852" max="3852" width="12.42578125" style="3" bestFit="1" customWidth="1"/>
    <col min="3853" max="3853" width="12.140625" style="3" customWidth="1"/>
    <col min="3854" max="3854" width="8.5703125" style="3" customWidth="1"/>
    <col min="3855" max="3855" width="12.42578125" style="3" customWidth="1"/>
    <col min="3856" max="3856" width="12.42578125" style="3" bestFit="1" customWidth="1"/>
    <col min="3857" max="3857" width="12.140625" style="3" customWidth="1"/>
    <col min="3858" max="3858" width="8.5703125" style="3" customWidth="1"/>
    <col min="3859" max="3859" width="12.42578125" style="3" customWidth="1"/>
    <col min="3860" max="3860" width="12.42578125" style="3" bestFit="1" customWidth="1"/>
    <col min="3861" max="3861" width="12.140625" style="3" customWidth="1"/>
    <col min="3862" max="3862" width="8.5703125" style="3" customWidth="1"/>
    <col min="3863" max="3863" width="12.42578125" style="3" customWidth="1"/>
    <col min="3864" max="3864" width="12.42578125" style="3" bestFit="1" customWidth="1"/>
    <col min="3865" max="3865" width="12.140625" style="3" customWidth="1"/>
    <col min="3866" max="3866" width="8.5703125" style="3" customWidth="1"/>
    <col min="3867" max="3867" width="12.42578125" style="3" customWidth="1"/>
    <col min="3868" max="3868" width="12.42578125" style="3" bestFit="1" customWidth="1"/>
    <col min="3869" max="3869" width="12.140625" style="3" customWidth="1"/>
    <col min="3870" max="3870" width="8.5703125" style="3" customWidth="1"/>
    <col min="3871" max="3871" width="12.42578125" style="3" customWidth="1"/>
    <col min="3872" max="3872" width="12.42578125" style="3" bestFit="1" customWidth="1"/>
    <col min="3873" max="3873" width="12.140625" style="3" customWidth="1"/>
    <col min="3874" max="3874" width="8.5703125" style="3" customWidth="1"/>
    <col min="3875" max="3875" width="12.42578125" style="3" customWidth="1"/>
    <col min="3876" max="3876" width="12.42578125" style="3" bestFit="1" customWidth="1"/>
    <col min="3877" max="3877" width="12.140625" style="3" customWidth="1"/>
    <col min="3878" max="3878" width="8.5703125" style="3" customWidth="1"/>
    <col min="3879" max="3879" width="12.42578125" style="3" customWidth="1"/>
    <col min="3880" max="3880" width="12.42578125" style="3" bestFit="1" customWidth="1"/>
    <col min="3881" max="3881" width="12.140625" style="3" customWidth="1"/>
    <col min="3882" max="3882" width="8.5703125" style="3" customWidth="1"/>
    <col min="3883" max="3883" width="12.42578125" style="3" customWidth="1"/>
    <col min="3884" max="3884" width="12.42578125" style="3" bestFit="1" customWidth="1"/>
    <col min="3885" max="3885" width="12.140625" style="3" customWidth="1"/>
    <col min="3886" max="3886" width="8.5703125" style="3" customWidth="1"/>
    <col min="3887" max="3887" width="12.42578125" style="3" customWidth="1"/>
    <col min="3888" max="3888" width="12.42578125" style="3" bestFit="1" customWidth="1"/>
    <col min="3889" max="3889" width="12.140625" style="3" customWidth="1"/>
    <col min="3890" max="3890" width="8.5703125" style="3" customWidth="1"/>
    <col min="3891" max="3891" width="12.42578125" style="3" customWidth="1"/>
    <col min="3892" max="3892" width="14.28515625" style="3" customWidth="1"/>
    <col min="3893" max="3895" width="12.42578125" style="3" customWidth="1"/>
    <col min="3896" max="3896" width="17.85546875" style="3" customWidth="1"/>
    <col min="3897" max="3897" width="17.5703125" style="3" customWidth="1"/>
    <col min="3898" max="3898" width="14.28515625" style="3" customWidth="1"/>
    <col min="3899" max="3899" width="10.28515625" style="3" customWidth="1"/>
    <col min="3900" max="4038" width="8.85546875" style="3" customWidth="1"/>
    <col min="4039" max="4039" width="3.28515625" style="3" customWidth="1"/>
    <col min="4040" max="4040" width="4.7109375" style="3" customWidth="1"/>
    <col min="4041" max="4041" width="16.7109375" style="3" customWidth="1"/>
    <col min="4042" max="4073" width="8.85546875" style="3" customWidth="1"/>
    <col min="4074" max="4074" width="12" style="3" customWidth="1"/>
    <col min="4075" max="4076" width="8.85546875" style="3" customWidth="1"/>
    <col min="4077" max="4077" width="10.42578125" style="3" customWidth="1"/>
    <col min="4078" max="4078" width="12.85546875" style="3" customWidth="1"/>
    <col min="4079" max="4079" width="9.28515625" style="3" bestFit="1" customWidth="1"/>
    <col min="4080" max="4080" width="8.85546875" style="3" customWidth="1"/>
    <col min="4081" max="4081" width="11.7109375" style="3" customWidth="1"/>
    <col min="4082" max="4082" width="12.140625" style="3" customWidth="1"/>
    <col min="4083" max="4083" width="9.28515625" style="3" bestFit="1" customWidth="1"/>
    <col min="4084" max="4084" width="8.85546875" style="3" customWidth="1"/>
    <col min="4085" max="4086" width="11.7109375" style="3" customWidth="1"/>
    <col min="4087" max="4087" width="9.28515625" style="3" bestFit="1" customWidth="1"/>
    <col min="4088" max="4088" width="8.85546875" style="3" customWidth="1"/>
    <col min="4089" max="4089" width="11.85546875" style="3" bestFit="1" customWidth="1"/>
    <col min="4090" max="4091" width="8.85546875" style="3" customWidth="1"/>
    <col min="4092" max="4092" width="12.28515625" style="3" bestFit="1" customWidth="1"/>
    <col min="4093" max="4093" width="10.85546875" style="3" customWidth="1"/>
    <col min="4094" max="4094" width="9.7109375" style="3" customWidth="1"/>
    <col min="4095" max="4095" width="13.28515625" style="3" customWidth="1"/>
    <col min="4096" max="4096" width="9.5703125" style="3"/>
    <col min="4097" max="4097" width="3.28515625" style="3" customWidth="1"/>
    <col min="4098" max="4098" width="11.28515625" style="3" bestFit="1" customWidth="1"/>
    <col min="4099" max="4099" width="20.5703125" style="3" customWidth="1"/>
    <col min="4100" max="4100" width="13.5703125" style="3" customWidth="1"/>
    <col min="4101" max="4101" width="12.140625" style="3" customWidth="1"/>
    <col min="4102" max="4102" width="8.5703125" style="3" customWidth="1"/>
    <col min="4103" max="4103" width="12.42578125" style="3" customWidth="1"/>
    <col min="4104" max="4104" width="12.42578125" style="3" bestFit="1" customWidth="1"/>
    <col min="4105" max="4105" width="12.140625" style="3" customWidth="1"/>
    <col min="4106" max="4106" width="8.5703125" style="3" customWidth="1"/>
    <col min="4107" max="4107" width="12.42578125" style="3" customWidth="1"/>
    <col min="4108" max="4108" width="12.42578125" style="3" bestFit="1" customWidth="1"/>
    <col min="4109" max="4109" width="12.140625" style="3" customWidth="1"/>
    <col min="4110" max="4110" width="8.5703125" style="3" customWidth="1"/>
    <col min="4111" max="4111" width="12.42578125" style="3" customWidth="1"/>
    <col min="4112" max="4112" width="12.42578125" style="3" bestFit="1" customWidth="1"/>
    <col min="4113" max="4113" width="12.140625" style="3" customWidth="1"/>
    <col min="4114" max="4114" width="8.5703125" style="3" customWidth="1"/>
    <col min="4115" max="4115" width="12.42578125" style="3" customWidth="1"/>
    <col min="4116" max="4116" width="12.42578125" style="3" bestFit="1" customWidth="1"/>
    <col min="4117" max="4117" width="12.140625" style="3" customWidth="1"/>
    <col min="4118" max="4118" width="8.5703125" style="3" customWidth="1"/>
    <col min="4119" max="4119" width="12.42578125" style="3" customWidth="1"/>
    <col min="4120" max="4120" width="12.42578125" style="3" bestFit="1" customWidth="1"/>
    <col min="4121" max="4121" width="12.140625" style="3" customWidth="1"/>
    <col min="4122" max="4122" width="8.5703125" style="3" customWidth="1"/>
    <col min="4123" max="4123" width="12.42578125" style="3" customWidth="1"/>
    <col min="4124" max="4124" width="12.42578125" style="3" bestFit="1" customWidth="1"/>
    <col min="4125" max="4125" width="12.140625" style="3" customWidth="1"/>
    <col min="4126" max="4126" width="8.5703125" style="3" customWidth="1"/>
    <col min="4127" max="4127" width="12.42578125" style="3" customWidth="1"/>
    <col min="4128" max="4128" width="12.42578125" style="3" bestFit="1" customWidth="1"/>
    <col min="4129" max="4129" width="12.140625" style="3" customWidth="1"/>
    <col min="4130" max="4130" width="8.5703125" style="3" customWidth="1"/>
    <col min="4131" max="4131" width="12.42578125" style="3" customWidth="1"/>
    <col min="4132" max="4132" width="12.42578125" style="3" bestFit="1" customWidth="1"/>
    <col min="4133" max="4133" width="12.140625" style="3" customWidth="1"/>
    <col min="4134" max="4134" width="8.5703125" style="3" customWidth="1"/>
    <col min="4135" max="4135" width="12.42578125" style="3" customWidth="1"/>
    <col min="4136" max="4136" width="12.42578125" style="3" bestFit="1" customWidth="1"/>
    <col min="4137" max="4137" width="12.140625" style="3" customWidth="1"/>
    <col min="4138" max="4138" width="8.5703125" style="3" customWidth="1"/>
    <col min="4139" max="4139" width="12.42578125" style="3" customWidth="1"/>
    <col min="4140" max="4140" width="12.42578125" style="3" bestFit="1" customWidth="1"/>
    <col min="4141" max="4141" width="12.140625" style="3" customWidth="1"/>
    <col min="4142" max="4142" width="8.5703125" style="3" customWidth="1"/>
    <col min="4143" max="4143" width="12.42578125" style="3" customWidth="1"/>
    <col min="4144" max="4144" width="12.42578125" style="3" bestFit="1" customWidth="1"/>
    <col min="4145" max="4145" width="12.140625" style="3" customWidth="1"/>
    <col min="4146" max="4146" width="8.5703125" style="3" customWidth="1"/>
    <col min="4147" max="4147" width="12.42578125" style="3" customWidth="1"/>
    <col min="4148" max="4148" width="14.28515625" style="3" customWidth="1"/>
    <col min="4149" max="4151" width="12.42578125" style="3" customWidth="1"/>
    <col min="4152" max="4152" width="17.85546875" style="3" customWidth="1"/>
    <col min="4153" max="4153" width="17.5703125" style="3" customWidth="1"/>
    <col min="4154" max="4154" width="14.28515625" style="3" customWidth="1"/>
    <col min="4155" max="4155" width="10.28515625" style="3" customWidth="1"/>
    <col min="4156" max="4294" width="8.85546875" style="3" customWidth="1"/>
    <col min="4295" max="4295" width="3.28515625" style="3" customWidth="1"/>
    <col min="4296" max="4296" width="4.7109375" style="3" customWidth="1"/>
    <col min="4297" max="4297" width="16.7109375" style="3" customWidth="1"/>
    <col min="4298" max="4329" width="8.85546875" style="3" customWidth="1"/>
    <col min="4330" max="4330" width="12" style="3" customWidth="1"/>
    <col min="4331" max="4332" width="8.85546875" style="3" customWidth="1"/>
    <col min="4333" max="4333" width="10.42578125" style="3" customWidth="1"/>
    <col min="4334" max="4334" width="12.85546875" style="3" customWidth="1"/>
    <col min="4335" max="4335" width="9.28515625" style="3" bestFit="1" customWidth="1"/>
    <col min="4336" max="4336" width="8.85546875" style="3" customWidth="1"/>
    <col min="4337" max="4337" width="11.7109375" style="3" customWidth="1"/>
    <col min="4338" max="4338" width="12.140625" style="3" customWidth="1"/>
    <col min="4339" max="4339" width="9.28515625" style="3" bestFit="1" customWidth="1"/>
    <col min="4340" max="4340" width="8.85546875" style="3" customWidth="1"/>
    <col min="4341" max="4342" width="11.7109375" style="3" customWidth="1"/>
    <col min="4343" max="4343" width="9.28515625" style="3" bestFit="1" customWidth="1"/>
    <col min="4344" max="4344" width="8.85546875" style="3" customWidth="1"/>
    <col min="4345" max="4345" width="11.85546875" style="3" bestFit="1" customWidth="1"/>
    <col min="4346" max="4347" width="8.85546875" style="3" customWidth="1"/>
    <col min="4348" max="4348" width="12.28515625" style="3" bestFit="1" customWidth="1"/>
    <col min="4349" max="4349" width="10.85546875" style="3" customWidth="1"/>
    <col min="4350" max="4350" width="9.7109375" style="3" customWidth="1"/>
    <col min="4351" max="4351" width="13.28515625" style="3" customWidth="1"/>
    <col min="4352" max="4352" width="9.5703125" style="3"/>
    <col min="4353" max="4353" width="3.28515625" style="3" customWidth="1"/>
    <col min="4354" max="4354" width="11.28515625" style="3" bestFit="1" customWidth="1"/>
    <col min="4355" max="4355" width="20.5703125" style="3" customWidth="1"/>
    <col min="4356" max="4356" width="13.5703125" style="3" customWidth="1"/>
    <col min="4357" max="4357" width="12.140625" style="3" customWidth="1"/>
    <col min="4358" max="4358" width="8.5703125" style="3" customWidth="1"/>
    <col min="4359" max="4359" width="12.42578125" style="3" customWidth="1"/>
    <col min="4360" max="4360" width="12.42578125" style="3" bestFit="1" customWidth="1"/>
    <col min="4361" max="4361" width="12.140625" style="3" customWidth="1"/>
    <col min="4362" max="4362" width="8.5703125" style="3" customWidth="1"/>
    <col min="4363" max="4363" width="12.42578125" style="3" customWidth="1"/>
    <col min="4364" max="4364" width="12.42578125" style="3" bestFit="1" customWidth="1"/>
    <col min="4365" max="4365" width="12.140625" style="3" customWidth="1"/>
    <col min="4366" max="4366" width="8.5703125" style="3" customWidth="1"/>
    <col min="4367" max="4367" width="12.42578125" style="3" customWidth="1"/>
    <col min="4368" max="4368" width="12.42578125" style="3" bestFit="1" customWidth="1"/>
    <col min="4369" max="4369" width="12.140625" style="3" customWidth="1"/>
    <col min="4370" max="4370" width="8.5703125" style="3" customWidth="1"/>
    <col min="4371" max="4371" width="12.42578125" style="3" customWidth="1"/>
    <col min="4372" max="4372" width="12.42578125" style="3" bestFit="1" customWidth="1"/>
    <col min="4373" max="4373" width="12.140625" style="3" customWidth="1"/>
    <col min="4374" max="4374" width="8.5703125" style="3" customWidth="1"/>
    <col min="4375" max="4375" width="12.42578125" style="3" customWidth="1"/>
    <col min="4376" max="4376" width="12.42578125" style="3" bestFit="1" customWidth="1"/>
    <col min="4377" max="4377" width="12.140625" style="3" customWidth="1"/>
    <col min="4378" max="4378" width="8.5703125" style="3" customWidth="1"/>
    <col min="4379" max="4379" width="12.42578125" style="3" customWidth="1"/>
    <col min="4380" max="4380" width="12.42578125" style="3" bestFit="1" customWidth="1"/>
    <col min="4381" max="4381" width="12.140625" style="3" customWidth="1"/>
    <col min="4382" max="4382" width="8.5703125" style="3" customWidth="1"/>
    <col min="4383" max="4383" width="12.42578125" style="3" customWidth="1"/>
    <col min="4384" max="4384" width="12.42578125" style="3" bestFit="1" customWidth="1"/>
    <col min="4385" max="4385" width="12.140625" style="3" customWidth="1"/>
    <col min="4386" max="4386" width="8.5703125" style="3" customWidth="1"/>
    <col min="4387" max="4387" width="12.42578125" style="3" customWidth="1"/>
    <col min="4388" max="4388" width="12.42578125" style="3" bestFit="1" customWidth="1"/>
    <col min="4389" max="4389" width="12.140625" style="3" customWidth="1"/>
    <col min="4390" max="4390" width="8.5703125" style="3" customWidth="1"/>
    <col min="4391" max="4391" width="12.42578125" style="3" customWidth="1"/>
    <col min="4392" max="4392" width="12.42578125" style="3" bestFit="1" customWidth="1"/>
    <col min="4393" max="4393" width="12.140625" style="3" customWidth="1"/>
    <col min="4394" max="4394" width="8.5703125" style="3" customWidth="1"/>
    <col min="4395" max="4395" width="12.42578125" style="3" customWidth="1"/>
    <col min="4396" max="4396" width="12.42578125" style="3" bestFit="1" customWidth="1"/>
    <col min="4397" max="4397" width="12.140625" style="3" customWidth="1"/>
    <col min="4398" max="4398" width="8.5703125" style="3" customWidth="1"/>
    <col min="4399" max="4399" width="12.42578125" style="3" customWidth="1"/>
    <col min="4400" max="4400" width="12.42578125" style="3" bestFit="1" customWidth="1"/>
    <col min="4401" max="4401" width="12.140625" style="3" customWidth="1"/>
    <col min="4402" max="4402" width="8.5703125" style="3" customWidth="1"/>
    <col min="4403" max="4403" width="12.42578125" style="3" customWidth="1"/>
    <col min="4404" max="4404" width="14.28515625" style="3" customWidth="1"/>
    <col min="4405" max="4407" width="12.42578125" style="3" customWidth="1"/>
    <col min="4408" max="4408" width="17.85546875" style="3" customWidth="1"/>
    <col min="4409" max="4409" width="17.5703125" style="3" customWidth="1"/>
    <col min="4410" max="4410" width="14.28515625" style="3" customWidth="1"/>
    <col min="4411" max="4411" width="10.28515625" style="3" customWidth="1"/>
    <col min="4412" max="4550" width="8.85546875" style="3" customWidth="1"/>
    <col min="4551" max="4551" width="3.28515625" style="3" customWidth="1"/>
    <col min="4552" max="4552" width="4.7109375" style="3" customWidth="1"/>
    <col min="4553" max="4553" width="16.7109375" style="3" customWidth="1"/>
    <col min="4554" max="4585" width="8.85546875" style="3" customWidth="1"/>
    <col min="4586" max="4586" width="12" style="3" customWidth="1"/>
    <col min="4587" max="4588" width="8.85546875" style="3" customWidth="1"/>
    <col min="4589" max="4589" width="10.42578125" style="3" customWidth="1"/>
    <col min="4590" max="4590" width="12.85546875" style="3" customWidth="1"/>
    <col min="4591" max="4591" width="9.28515625" style="3" bestFit="1" customWidth="1"/>
    <col min="4592" max="4592" width="8.85546875" style="3" customWidth="1"/>
    <col min="4593" max="4593" width="11.7109375" style="3" customWidth="1"/>
    <col min="4594" max="4594" width="12.140625" style="3" customWidth="1"/>
    <col min="4595" max="4595" width="9.28515625" style="3" bestFit="1" customWidth="1"/>
    <col min="4596" max="4596" width="8.85546875" style="3" customWidth="1"/>
    <col min="4597" max="4598" width="11.7109375" style="3" customWidth="1"/>
    <col min="4599" max="4599" width="9.28515625" style="3" bestFit="1" customWidth="1"/>
    <col min="4600" max="4600" width="8.85546875" style="3" customWidth="1"/>
    <col min="4601" max="4601" width="11.85546875" style="3" bestFit="1" customWidth="1"/>
    <col min="4602" max="4603" width="8.85546875" style="3" customWidth="1"/>
    <col min="4604" max="4604" width="12.28515625" style="3" bestFit="1" customWidth="1"/>
    <col min="4605" max="4605" width="10.85546875" style="3" customWidth="1"/>
    <col min="4606" max="4606" width="9.7109375" style="3" customWidth="1"/>
    <col min="4607" max="4607" width="13.28515625" style="3" customWidth="1"/>
    <col min="4608" max="4608" width="9.5703125" style="3"/>
    <col min="4609" max="4609" width="3.28515625" style="3" customWidth="1"/>
    <col min="4610" max="4610" width="11.28515625" style="3" bestFit="1" customWidth="1"/>
    <col min="4611" max="4611" width="20.5703125" style="3" customWidth="1"/>
    <col min="4612" max="4612" width="13.5703125" style="3" customWidth="1"/>
    <col min="4613" max="4613" width="12.140625" style="3" customWidth="1"/>
    <col min="4614" max="4614" width="8.5703125" style="3" customWidth="1"/>
    <col min="4615" max="4615" width="12.42578125" style="3" customWidth="1"/>
    <col min="4616" max="4616" width="12.42578125" style="3" bestFit="1" customWidth="1"/>
    <col min="4617" max="4617" width="12.140625" style="3" customWidth="1"/>
    <col min="4618" max="4618" width="8.5703125" style="3" customWidth="1"/>
    <col min="4619" max="4619" width="12.42578125" style="3" customWidth="1"/>
    <col min="4620" max="4620" width="12.42578125" style="3" bestFit="1" customWidth="1"/>
    <col min="4621" max="4621" width="12.140625" style="3" customWidth="1"/>
    <col min="4622" max="4622" width="8.5703125" style="3" customWidth="1"/>
    <col min="4623" max="4623" width="12.42578125" style="3" customWidth="1"/>
    <col min="4624" max="4624" width="12.42578125" style="3" bestFit="1" customWidth="1"/>
    <col min="4625" max="4625" width="12.140625" style="3" customWidth="1"/>
    <col min="4626" max="4626" width="8.5703125" style="3" customWidth="1"/>
    <col min="4627" max="4627" width="12.42578125" style="3" customWidth="1"/>
    <col min="4628" max="4628" width="12.42578125" style="3" bestFit="1" customWidth="1"/>
    <col min="4629" max="4629" width="12.140625" style="3" customWidth="1"/>
    <col min="4630" max="4630" width="8.5703125" style="3" customWidth="1"/>
    <col min="4631" max="4631" width="12.42578125" style="3" customWidth="1"/>
    <col min="4632" max="4632" width="12.42578125" style="3" bestFit="1" customWidth="1"/>
    <col min="4633" max="4633" width="12.140625" style="3" customWidth="1"/>
    <col min="4634" max="4634" width="8.5703125" style="3" customWidth="1"/>
    <col min="4635" max="4635" width="12.42578125" style="3" customWidth="1"/>
    <col min="4636" max="4636" width="12.42578125" style="3" bestFit="1" customWidth="1"/>
    <col min="4637" max="4637" width="12.140625" style="3" customWidth="1"/>
    <col min="4638" max="4638" width="8.5703125" style="3" customWidth="1"/>
    <col min="4639" max="4639" width="12.42578125" style="3" customWidth="1"/>
    <col min="4640" max="4640" width="12.42578125" style="3" bestFit="1" customWidth="1"/>
    <col min="4641" max="4641" width="12.140625" style="3" customWidth="1"/>
    <col min="4642" max="4642" width="8.5703125" style="3" customWidth="1"/>
    <col min="4643" max="4643" width="12.42578125" style="3" customWidth="1"/>
    <col min="4644" max="4644" width="12.42578125" style="3" bestFit="1" customWidth="1"/>
    <col min="4645" max="4645" width="12.140625" style="3" customWidth="1"/>
    <col min="4646" max="4646" width="8.5703125" style="3" customWidth="1"/>
    <col min="4647" max="4647" width="12.42578125" style="3" customWidth="1"/>
    <col min="4648" max="4648" width="12.42578125" style="3" bestFit="1" customWidth="1"/>
    <col min="4649" max="4649" width="12.140625" style="3" customWidth="1"/>
    <col min="4650" max="4650" width="8.5703125" style="3" customWidth="1"/>
    <col min="4651" max="4651" width="12.42578125" style="3" customWidth="1"/>
    <col min="4652" max="4652" width="12.42578125" style="3" bestFit="1" customWidth="1"/>
    <col min="4653" max="4653" width="12.140625" style="3" customWidth="1"/>
    <col min="4654" max="4654" width="8.5703125" style="3" customWidth="1"/>
    <col min="4655" max="4655" width="12.42578125" style="3" customWidth="1"/>
    <col min="4656" max="4656" width="12.42578125" style="3" bestFit="1" customWidth="1"/>
    <col min="4657" max="4657" width="12.140625" style="3" customWidth="1"/>
    <col min="4658" max="4658" width="8.5703125" style="3" customWidth="1"/>
    <col min="4659" max="4659" width="12.42578125" style="3" customWidth="1"/>
    <col min="4660" max="4660" width="14.28515625" style="3" customWidth="1"/>
    <col min="4661" max="4663" width="12.42578125" style="3" customWidth="1"/>
    <col min="4664" max="4664" width="17.85546875" style="3" customWidth="1"/>
    <col min="4665" max="4665" width="17.5703125" style="3" customWidth="1"/>
    <col min="4666" max="4666" width="14.28515625" style="3" customWidth="1"/>
    <col min="4667" max="4667" width="10.28515625" style="3" customWidth="1"/>
    <col min="4668" max="4806" width="8.85546875" style="3" customWidth="1"/>
    <col min="4807" max="4807" width="3.28515625" style="3" customWidth="1"/>
    <col min="4808" max="4808" width="4.7109375" style="3" customWidth="1"/>
    <col min="4809" max="4809" width="16.7109375" style="3" customWidth="1"/>
    <col min="4810" max="4841" width="8.85546875" style="3" customWidth="1"/>
    <col min="4842" max="4842" width="12" style="3" customWidth="1"/>
    <col min="4843" max="4844" width="8.85546875" style="3" customWidth="1"/>
    <col min="4845" max="4845" width="10.42578125" style="3" customWidth="1"/>
    <col min="4846" max="4846" width="12.85546875" style="3" customWidth="1"/>
    <col min="4847" max="4847" width="9.28515625" style="3" bestFit="1" customWidth="1"/>
    <col min="4848" max="4848" width="8.85546875" style="3" customWidth="1"/>
    <col min="4849" max="4849" width="11.7109375" style="3" customWidth="1"/>
    <col min="4850" max="4850" width="12.140625" style="3" customWidth="1"/>
    <col min="4851" max="4851" width="9.28515625" style="3" bestFit="1" customWidth="1"/>
    <col min="4852" max="4852" width="8.85546875" style="3" customWidth="1"/>
    <col min="4853" max="4854" width="11.7109375" style="3" customWidth="1"/>
    <col min="4855" max="4855" width="9.28515625" style="3" bestFit="1" customWidth="1"/>
    <col min="4856" max="4856" width="8.85546875" style="3" customWidth="1"/>
    <col min="4857" max="4857" width="11.85546875" style="3" bestFit="1" customWidth="1"/>
    <col min="4858" max="4859" width="8.85546875" style="3" customWidth="1"/>
    <col min="4860" max="4860" width="12.28515625" style="3" bestFit="1" customWidth="1"/>
    <col min="4861" max="4861" width="10.85546875" style="3" customWidth="1"/>
    <col min="4862" max="4862" width="9.7109375" style="3" customWidth="1"/>
    <col min="4863" max="4863" width="13.28515625" style="3" customWidth="1"/>
    <col min="4864" max="4864" width="9.5703125" style="3"/>
    <col min="4865" max="4865" width="3.28515625" style="3" customWidth="1"/>
    <col min="4866" max="4866" width="11.28515625" style="3" bestFit="1" customWidth="1"/>
    <col min="4867" max="4867" width="20.5703125" style="3" customWidth="1"/>
    <col min="4868" max="4868" width="13.5703125" style="3" customWidth="1"/>
    <col min="4869" max="4869" width="12.140625" style="3" customWidth="1"/>
    <col min="4870" max="4870" width="8.5703125" style="3" customWidth="1"/>
    <col min="4871" max="4871" width="12.42578125" style="3" customWidth="1"/>
    <col min="4872" max="4872" width="12.42578125" style="3" bestFit="1" customWidth="1"/>
    <col min="4873" max="4873" width="12.140625" style="3" customWidth="1"/>
    <col min="4874" max="4874" width="8.5703125" style="3" customWidth="1"/>
    <col min="4875" max="4875" width="12.42578125" style="3" customWidth="1"/>
    <col min="4876" max="4876" width="12.42578125" style="3" bestFit="1" customWidth="1"/>
    <col min="4877" max="4877" width="12.140625" style="3" customWidth="1"/>
    <col min="4878" max="4878" width="8.5703125" style="3" customWidth="1"/>
    <col min="4879" max="4879" width="12.42578125" style="3" customWidth="1"/>
    <col min="4880" max="4880" width="12.42578125" style="3" bestFit="1" customWidth="1"/>
    <col min="4881" max="4881" width="12.140625" style="3" customWidth="1"/>
    <col min="4882" max="4882" width="8.5703125" style="3" customWidth="1"/>
    <col min="4883" max="4883" width="12.42578125" style="3" customWidth="1"/>
    <col min="4884" max="4884" width="12.42578125" style="3" bestFit="1" customWidth="1"/>
    <col min="4885" max="4885" width="12.140625" style="3" customWidth="1"/>
    <col min="4886" max="4886" width="8.5703125" style="3" customWidth="1"/>
    <col min="4887" max="4887" width="12.42578125" style="3" customWidth="1"/>
    <col min="4888" max="4888" width="12.42578125" style="3" bestFit="1" customWidth="1"/>
    <col min="4889" max="4889" width="12.140625" style="3" customWidth="1"/>
    <col min="4890" max="4890" width="8.5703125" style="3" customWidth="1"/>
    <col min="4891" max="4891" width="12.42578125" style="3" customWidth="1"/>
    <col min="4892" max="4892" width="12.42578125" style="3" bestFit="1" customWidth="1"/>
    <col min="4893" max="4893" width="12.140625" style="3" customWidth="1"/>
    <col min="4894" max="4894" width="8.5703125" style="3" customWidth="1"/>
    <col min="4895" max="4895" width="12.42578125" style="3" customWidth="1"/>
    <col min="4896" max="4896" width="12.42578125" style="3" bestFit="1" customWidth="1"/>
    <col min="4897" max="4897" width="12.140625" style="3" customWidth="1"/>
    <col min="4898" max="4898" width="8.5703125" style="3" customWidth="1"/>
    <col min="4899" max="4899" width="12.42578125" style="3" customWidth="1"/>
    <col min="4900" max="4900" width="12.42578125" style="3" bestFit="1" customWidth="1"/>
    <col min="4901" max="4901" width="12.140625" style="3" customWidth="1"/>
    <col min="4902" max="4902" width="8.5703125" style="3" customWidth="1"/>
    <col min="4903" max="4903" width="12.42578125" style="3" customWidth="1"/>
    <col min="4904" max="4904" width="12.42578125" style="3" bestFit="1" customWidth="1"/>
    <col min="4905" max="4905" width="12.140625" style="3" customWidth="1"/>
    <col min="4906" max="4906" width="8.5703125" style="3" customWidth="1"/>
    <col min="4907" max="4907" width="12.42578125" style="3" customWidth="1"/>
    <col min="4908" max="4908" width="12.42578125" style="3" bestFit="1" customWidth="1"/>
    <col min="4909" max="4909" width="12.140625" style="3" customWidth="1"/>
    <col min="4910" max="4910" width="8.5703125" style="3" customWidth="1"/>
    <col min="4911" max="4911" width="12.42578125" style="3" customWidth="1"/>
    <col min="4912" max="4912" width="12.42578125" style="3" bestFit="1" customWidth="1"/>
    <col min="4913" max="4913" width="12.140625" style="3" customWidth="1"/>
    <col min="4914" max="4914" width="8.5703125" style="3" customWidth="1"/>
    <col min="4915" max="4915" width="12.42578125" style="3" customWidth="1"/>
    <col min="4916" max="4916" width="14.28515625" style="3" customWidth="1"/>
    <col min="4917" max="4919" width="12.42578125" style="3" customWidth="1"/>
    <col min="4920" max="4920" width="17.85546875" style="3" customWidth="1"/>
    <col min="4921" max="4921" width="17.5703125" style="3" customWidth="1"/>
    <col min="4922" max="4922" width="14.28515625" style="3" customWidth="1"/>
    <col min="4923" max="4923" width="10.28515625" style="3" customWidth="1"/>
    <col min="4924" max="5062" width="8.85546875" style="3" customWidth="1"/>
    <col min="5063" max="5063" width="3.28515625" style="3" customWidth="1"/>
    <col min="5064" max="5064" width="4.7109375" style="3" customWidth="1"/>
    <col min="5065" max="5065" width="16.7109375" style="3" customWidth="1"/>
    <col min="5066" max="5097" width="8.85546875" style="3" customWidth="1"/>
    <col min="5098" max="5098" width="12" style="3" customWidth="1"/>
    <col min="5099" max="5100" width="8.85546875" style="3" customWidth="1"/>
    <col min="5101" max="5101" width="10.42578125" style="3" customWidth="1"/>
    <col min="5102" max="5102" width="12.85546875" style="3" customWidth="1"/>
    <col min="5103" max="5103" width="9.28515625" style="3" bestFit="1" customWidth="1"/>
    <col min="5104" max="5104" width="8.85546875" style="3" customWidth="1"/>
    <col min="5105" max="5105" width="11.7109375" style="3" customWidth="1"/>
    <col min="5106" max="5106" width="12.140625" style="3" customWidth="1"/>
    <col min="5107" max="5107" width="9.28515625" style="3" bestFit="1" customWidth="1"/>
    <col min="5108" max="5108" width="8.85546875" style="3" customWidth="1"/>
    <col min="5109" max="5110" width="11.7109375" style="3" customWidth="1"/>
    <col min="5111" max="5111" width="9.28515625" style="3" bestFit="1" customWidth="1"/>
    <col min="5112" max="5112" width="8.85546875" style="3" customWidth="1"/>
    <col min="5113" max="5113" width="11.85546875" style="3" bestFit="1" customWidth="1"/>
    <col min="5114" max="5115" width="8.85546875" style="3" customWidth="1"/>
    <col min="5116" max="5116" width="12.28515625" style="3" bestFit="1" customWidth="1"/>
    <col min="5117" max="5117" width="10.85546875" style="3" customWidth="1"/>
    <col min="5118" max="5118" width="9.7109375" style="3" customWidth="1"/>
    <col min="5119" max="5119" width="13.28515625" style="3" customWidth="1"/>
    <col min="5120" max="5120" width="9.5703125" style="3"/>
    <col min="5121" max="5121" width="3.28515625" style="3" customWidth="1"/>
    <col min="5122" max="5122" width="11.28515625" style="3" bestFit="1" customWidth="1"/>
    <col min="5123" max="5123" width="20.5703125" style="3" customWidth="1"/>
    <col min="5124" max="5124" width="13.5703125" style="3" customWidth="1"/>
    <col min="5125" max="5125" width="12.140625" style="3" customWidth="1"/>
    <col min="5126" max="5126" width="8.5703125" style="3" customWidth="1"/>
    <col min="5127" max="5127" width="12.42578125" style="3" customWidth="1"/>
    <col min="5128" max="5128" width="12.42578125" style="3" bestFit="1" customWidth="1"/>
    <col min="5129" max="5129" width="12.140625" style="3" customWidth="1"/>
    <col min="5130" max="5130" width="8.5703125" style="3" customWidth="1"/>
    <col min="5131" max="5131" width="12.42578125" style="3" customWidth="1"/>
    <col min="5132" max="5132" width="12.42578125" style="3" bestFit="1" customWidth="1"/>
    <col min="5133" max="5133" width="12.140625" style="3" customWidth="1"/>
    <col min="5134" max="5134" width="8.5703125" style="3" customWidth="1"/>
    <col min="5135" max="5135" width="12.42578125" style="3" customWidth="1"/>
    <col min="5136" max="5136" width="12.42578125" style="3" bestFit="1" customWidth="1"/>
    <col min="5137" max="5137" width="12.140625" style="3" customWidth="1"/>
    <col min="5138" max="5138" width="8.5703125" style="3" customWidth="1"/>
    <col min="5139" max="5139" width="12.42578125" style="3" customWidth="1"/>
    <col min="5140" max="5140" width="12.42578125" style="3" bestFit="1" customWidth="1"/>
    <col min="5141" max="5141" width="12.140625" style="3" customWidth="1"/>
    <col min="5142" max="5142" width="8.5703125" style="3" customWidth="1"/>
    <col min="5143" max="5143" width="12.42578125" style="3" customWidth="1"/>
    <col min="5144" max="5144" width="12.42578125" style="3" bestFit="1" customWidth="1"/>
    <col min="5145" max="5145" width="12.140625" style="3" customWidth="1"/>
    <col min="5146" max="5146" width="8.5703125" style="3" customWidth="1"/>
    <col min="5147" max="5147" width="12.42578125" style="3" customWidth="1"/>
    <col min="5148" max="5148" width="12.42578125" style="3" bestFit="1" customWidth="1"/>
    <col min="5149" max="5149" width="12.140625" style="3" customWidth="1"/>
    <col min="5150" max="5150" width="8.5703125" style="3" customWidth="1"/>
    <col min="5151" max="5151" width="12.42578125" style="3" customWidth="1"/>
    <col min="5152" max="5152" width="12.42578125" style="3" bestFit="1" customWidth="1"/>
    <col min="5153" max="5153" width="12.140625" style="3" customWidth="1"/>
    <col min="5154" max="5154" width="8.5703125" style="3" customWidth="1"/>
    <col min="5155" max="5155" width="12.42578125" style="3" customWidth="1"/>
    <col min="5156" max="5156" width="12.42578125" style="3" bestFit="1" customWidth="1"/>
    <col min="5157" max="5157" width="12.140625" style="3" customWidth="1"/>
    <col min="5158" max="5158" width="8.5703125" style="3" customWidth="1"/>
    <col min="5159" max="5159" width="12.42578125" style="3" customWidth="1"/>
    <col min="5160" max="5160" width="12.42578125" style="3" bestFit="1" customWidth="1"/>
    <col min="5161" max="5161" width="12.140625" style="3" customWidth="1"/>
    <col min="5162" max="5162" width="8.5703125" style="3" customWidth="1"/>
    <col min="5163" max="5163" width="12.42578125" style="3" customWidth="1"/>
    <col min="5164" max="5164" width="12.42578125" style="3" bestFit="1" customWidth="1"/>
    <col min="5165" max="5165" width="12.140625" style="3" customWidth="1"/>
    <col min="5166" max="5166" width="8.5703125" style="3" customWidth="1"/>
    <col min="5167" max="5167" width="12.42578125" style="3" customWidth="1"/>
    <col min="5168" max="5168" width="12.42578125" style="3" bestFit="1" customWidth="1"/>
    <col min="5169" max="5169" width="12.140625" style="3" customWidth="1"/>
    <col min="5170" max="5170" width="8.5703125" style="3" customWidth="1"/>
    <col min="5171" max="5171" width="12.42578125" style="3" customWidth="1"/>
    <col min="5172" max="5172" width="14.28515625" style="3" customWidth="1"/>
    <col min="5173" max="5175" width="12.42578125" style="3" customWidth="1"/>
    <col min="5176" max="5176" width="17.85546875" style="3" customWidth="1"/>
    <col min="5177" max="5177" width="17.5703125" style="3" customWidth="1"/>
    <col min="5178" max="5178" width="14.28515625" style="3" customWidth="1"/>
    <col min="5179" max="5179" width="10.28515625" style="3" customWidth="1"/>
    <col min="5180" max="5318" width="8.85546875" style="3" customWidth="1"/>
    <col min="5319" max="5319" width="3.28515625" style="3" customWidth="1"/>
    <col min="5320" max="5320" width="4.7109375" style="3" customWidth="1"/>
    <col min="5321" max="5321" width="16.7109375" style="3" customWidth="1"/>
    <col min="5322" max="5353" width="8.85546875" style="3" customWidth="1"/>
    <col min="5354" max="5354" width="12" style="3" customWidth="1"/>
    <col min="5355" max="5356" width="8.85546875" style="3" customWidth="1"/>
    <col min="5357" max="5357" width="10.42578125" style="3" customWidth="1"/>
    <col min="5358" max="5358" width="12.85546875" style="3" customWidth="1"/>
    <col min="5359" max="5359" width="9.28515625" style="3" bestFit="1" customWidth="1"/>
    <col min="5360" max="5360" width="8.85546875" style="3" customWidth="1"/>
    <col min="5361" max="5361" width="11.7109375" style="3" customWidth="1"/>
    <col min="5362" max="5362" width="12.140625" style="3" customWidth="1"/>
    <col min="5363" max="5363" width="9.28515625" style="3" bestFit="1" customWidth="1"/>
    <col min="5364" max="5364" width="8.85546875" style="3" customWidth="1"/>
    <col min="5365" max="5366" width="11.7109375" style="3" customWidth="1"/>
    <col min="5367" max="5367" width="9.28515625" style="3" bestFit="1" customWidth="1"/>
    <col min="5368" max="5368" width="8.85546875" style="3" customWidth="1"/>
    <col min="5369" max="5369" width="11.85546875" style="3" bestFit="1" customWidth="1"/>
    <col min="5370" max="5371" width="8.85546875" style="3" customWidth="1"/>
    <col min="5372" max="5372" width="12.28515625" style="3" bestFit="1" customWidth="1"/>
    <col min="5373" max="5373" width="10.85546875" style="3" customWidth="1"/>
    <col min="5374" max="5374" width="9.7109375" style="3" customWidth="1"/>
    <col min="5375" max="5375" width="13.28515625" style="3" customWidth="1"/>
    <col min="5376" max="5376" width="9.5703125" style="3"/>
    <col min="5377" max="5377" width="3.28515625" style="3" customWidth="1"/>
    <col min="5378" max="5378" width="11.28515625" style="3" bestFit="1" customWidth="1"/>
    <col min="5379" max="5379" width="20.5703125" style="3" customWidth="1"/>
    <col min="5380" max="5380" width="13.5703125" style="3" customWidth="1"/>
    <col min="5381" max="5381" width="12.140625" style="3" customWidth="1"/>
    <col min="5382" max="5382" width="8.5703125" style="3" customWidth="1"/>
    <col min="5383" max="5383" width="12.42578125" style="3" customWidth="1"/>
    <col min="5384" max="5384" width="12.42578125" style="3" bestFit="1" customWidth="1"/>
    <col min="5385" max="5385" width="12.140625" style="3" customWidth="1"/>
    <col min="5386" max="5386" width="8.5703125" style="3" customWidth="1"/>
    <col min="5387" max="5387" width="12.42578125" style="3" customWidth="1"/>
    <col min="5388" max="5388" width="12.42578125" style="3" bestFit="1" customWidth="1"/>
    <col min="5389" max="5389" width="12.140625" style="3" customWidth="1"/>
    <col min="5390" max="5390" width="8.5703125" style="3" customWidth="1"/>
    <col min="5391" max="5391" width="12.42578125" style="3" customWidth="1"/>
    <col min="5392" max="5392" width="12.42578125" style="3" bestFit="1" customWidth="1"/>
    <col min="5393" max="5393" width="12.140625" style="3" customWidth="1"/>
    <col min="5394" max="5394" width="8.5703125" style="3" customWidth="1"/>
    <col min="5395" max="5395" width="12.42578125" style="3" customWidth="1"/>
    <col min="5396" max="5396" width="12.42578125" style="3" bestFit="1" customWidth="1"/>
    <col min="5397" max="5397" width="12.140625" style="3" customWidth="1"/>
    <col min="5398" max="5398" width="8.5703125" style="3" customWidth="1"/>
    <col min="5399" max="5399" width="12.42578125" style="3" customWidth="1"/>
    <col min="5400" max="5400" width="12.42578125" style="3" bestFit="1" customWidth="1"/>
    <col min="5401" max="5401" width="12.140625" style="3" customWidth="1"/>
    <col min="5402" max="5402" width="8.5703125" style="3" customWidth="1"/>
    <col min="5403" max="5403" width="12.42578125" style="3" customWidth="1"/>
    <col min="5404" max="5404" width="12.42578125" style="3" bestFit="1" customWidth="1"/>
    <col min="5405" max="5405" width="12.140625" style="3" customWidth="1"/>
    <col min="5406" max="5406" width="8.5703125" style="3" customWidth="1"/>
    <col min="5407" max="5407" width="12.42578125" style="3" customWidth="1"/>
    <col min="5408" max="5408" width="12.42578125" style="3" bestFit="1" customWidth="1"/>
    <col min="5409" max="5409" width="12.140625" style="3" customWidth="1"/>
    <col min="5410" max="5410" width="8.5703125" style="3" customWidth="1"/>
    <col min="5411" max="5411" width="12.42578125" style="3" customWidth="1"/>
    <col min="5412" max="5412" width="12.42578125" style="3" bestFit="1" customWidth="1"/>
    <col min="5413" max="5413" width="12.140625" style="3" customWidth="1"/>
    <col min="5414" max="5414" width="8.5703125" style="3" customWidth="1"/>
    <col min="5415" max="5415" width="12.42578125" style="3" customWidth="1"/>
    <col min="5416" max="5416" width="12.42578125" style="3" bestFit="1" customWidth="1"/>
    <col min="5417" max="5417" width="12.140625" style="3" customWidth="1"/>
    <col min="5418" max="5418" width="8.5703125" style="3" customWidth="1"/>
    <col min="5419" max="5419" width="12.42578125" style="3" customWidth="1"/>
    <col min="5420" max="5420" width="12.42578125" style="3" bestFit="1" customWidth="1"/>
    <col min="5421" max="5421" width="12.140625" style="3" customWidth="1"/>
    <col min="5422" max="5422" width="8.5703125" style="3" customWidth="1"/>
    <col min="5423" max="5423" width="12.42578125" style="3" customWidth="1"/>
    <col min="5424" max="5424" width="12.42578125" style="3" bestFit="1" customWidth="1"/>
    <col min="5425" max="5425" width="12.140625" style="3" customWidth="1"/>
    <col min="5426" max="5426" width="8.5703125" style="3" customWidth="1"/>
    <col min="5427" max="5427" width="12.42578125" style="3" customWidth="1"/>
    <col min="5428" max="5428" width="14.28515625" style="3" customWidth="1"/>
    <col min="5429" max="5431" width="12.42578125" style="3" customWidth="1"/>
    <col min="5432" max="5432" width="17.85546875" style="3" customWidth="1"/>
    <col min="5433" max="5433" width="17.5703125" style="3" customWidth="1"/>
    <col min="5434" max="5434" width="14.28515625" style="3" customWidth="1"/>
    <col min="5435" max="5435" width="10.28515625" style="3" customWidth="1"/>
    <col min="5436" max="5574" width="8.85546875" style="3" customWidth="1"/>
    <col min="5575" max="5575" width="3.28515625" style="3" customWidth="1"/>
    <col min="5576" max="5576" width="4.7109375" style="3" customWidth="1"/>
    <col min="5577" max="5577" width="16.7109375" style="3" customWidth="1"/>
    <col min="5578" max="5609" width="8.85546875" style="3" customWidth="1"/>
    <col min="5610" max="5610" width="12" style="3" customWidth="1"/>
    <col min="5611" max="5612" width="8.85546875" style="3" customWidth="1"/>
    <col min="5613" max="5613" width="10.42578125" style="3" customWidth="1"/>
    <col min="5614" max="5614" width="12.85546875" style="3" customWidth="1"/>
    <col min="5615" max="5615" width="9.28515625" style="3" bestFit="1" customWidth="1"/>
    <col min="5616" max="5616" width="8.85546875" style="3" customWidth="1"/>
    <col min="5617" max="5617" width="11.7109375" style="3" customWidth="1"/>
    <col min="5618" max="5618" width="12.140625" style="3" customWidth="1"/>
    <col min="5619" max="5619" width="9.28515625" style="3" bestFit="1" customWidth="1"/>
    <col min="5620" max="5620" width="8.85546875" style="3" customWidth="1"/>
    <col min="5621" max="5622" width="11.7109375" style="3" customWidth="1"/>
    <col min="5623" max="5623" width="9.28515625" style="3" bestFit="1" customWidth="1"/>
    <col min="5624" max="5624" width="8.85546875" style="3" customWidth="1"/>
    <col min="5625" max="5625" width="11.85546875" style="3" bestFit="1" customWidth="1"/>
    <col min="5626" max="5627" width="8.85546875" style="3" customWidth="1"/>
    <col min="5628" max="5628" width="12.28515625" style="3" bestFit="1" customWidth="1"/>
    <col min="5629" max="5629" width="10.85546875" style="3" customWidth="1"/>
    <col min="5630" max="5630" width="9.7109375" style="3" customWidth="1"/>
    <col min="5631" max="5631" width="13.28515625" style="3" customWidth="1"/>
    <col min="5632" max="5632" width="9.5703125" style="3"/>
    <col min="5633" max="5633" width="3.28515625" style="3" customWidth="1"/>
    <col min="5634" max="5634" width="11.28515625" style="3" bestFit="1" customWidth="1"/>
    <col min="5635" max="5635" width="20.5703125" style="3" customWidth="1"/>
    <col min="5636" max="5636" width="13.5703125" style="3" customWidth="1"/>
    <col min="5637" max="5637" width="12.140625" style="3" customWidth="1"/>
    <col min="5638" max="5638" width="8.5703125" style="3" customWidth="1"/>
    <col min="5639" max="5639" width="12.42578125" style="3" customWidth="1"/>
    <col min="5640" max="5640" width="12.42578125" style="3" bestFit="1" customWidth="1"/>
    <col min="5641" max="5641" width="12.140625" style="3" customWidth="1"/>
    <col min="5642" max="5642" width="8.5703125" style="3" customWidth="1"/>
    <col min="5643" max="5643" width="12.42578125" style="3" customWidth="1"/>
    <col min="5644" max="5644" width="12.42578125" style="3" bestFit="1" customWidth="1"/>
    <col min="5645" max="5645" width="12.140625" style="3" customWidth="1"/>
    <col min="5646" max="5646" width="8.5703125" style="3" customWidth="1"/>
    <col min="5647" max="5647" width="12.42578125" style="3" customWidth="1"/>
    <col min="5648" max="5648" width="12.42578125" style="3" bestFit="1" customWidth="1"/>
    <col min="5649" max="5649" width="12.140625" style="3" customWidth="1"/>
    <col min="5650" max="5650" width="8.5703125" style="3" customWidth="1"/>
    <col min="5651" max="5651" width="12.42578125" style="3" customWidth="1"/>
    <col min="5652" max="5652" width="12.42578125" style="3" bestFit="1" customWidth="1"/>
    <col min="5653" max="5653" width="12.140625" style="3" customWidth="1"/>
    <col min="5654" max="5654" width="8.5703125" style="3" customWidth="1"/>
    <col min="5655" max="5655" width="12.42578125" style="3" customWidth="1"/>
    <col min="5656" max="5656" width="12.42578125" style="3" bestFit="1" customWidth="1"/>
    <col min="5657" max="5657" width="12.140625" style="3" customWidth="1"/>
    <col min="5658" max="5658" width="8.5703125" style="3" customWidth="1"/>
    <col min="5659" max="5659" width="12.42578125" style="3" customWidth="1"/>
    <col min="5660" max="5660" width="12.42578125" style="3" bestFit="1" customWidth="1"/>
    <col min="5661" max="5661" width="12.140625" style="3" customWidth="1"/>
    <col min="5662" max="5662" width="8.5703125" style="3" customWidth="1"/>
    <col min="5663" max="5663" width="12.42578125" style="3" customWidth="1"/>
    <col min="5664" max="5664" width="12.42578125" style="3" bestFit="1" customWidth="1"/>
    <col min="5665" max="5665" width="12.140625" style="3" customWidth="1"/>
    <col min="5666" max="5666" width="8.5703125" style="3" customWidth="1"/>
    <col min="5667" max="5667" width="12.42578125" style="3" customWidth="1"/>
    <col min="5668" max="5668" width="12.42578125" style="3" bestFit="1" customWidth="1"/>
    <col min="5669" max="5669" width="12.140625" style="3" customWidth="1"/>
    <col min="5670" max="5670" width="8.5703125" style="3" customWidth="1"/>
    <col min="5671" max="5671" width="12.42578125" style="3" customWidth="1"/>
    <col min="5672" max="5672" width="12.42578125" style="3" bestFit="1" customWidth="1"/>
    <col min="5673" max="5673" width="12.140625" style="3" customWidth="1"/>
    <col min="5674" max="5674" width="8.5703125" style="3" customWidth="1"/>
    <col min="5675" max="5675" width="12.42578125" style="3" customWidth="1"/>
    <col min="5676" max="5676" width="12.42578125" style="3" bestFit="1" customWidth="1"/>
    <col min="5677" max="5677" width="12.140625" style="3" customWidth="1"/>
    <col min="5678" max="5678" width="8.5703125" style="3" customWidth="1"/>
    <col min="5679" max="5679" width="12.42578125" style="3" customWidth="1"/>
    <col min="5680" max="5680" width="12.42578125" style="3" bestFit="1" customWidth="1"/>
    <col min="5681" max="5681" width="12.140625" style="3" customWidth="1"/>
    <col min="5682" max="5682" width="8.5703125" style="3" customWidth="1"/>
    <col min="5683" max="5683" width="12.42578125" style="3" customWidth="1"/>
    <col min="5684" max="5684" width="14.28515625" style="3" customWidth="1"/>
    <col min="5685" max="5687" width="12.42578125" style="3" customWidth="1"/>
    <col min="5688" max="5688" width="17.85546875" style="3" customWidth="1"/>
    <col min="5689" max="5689" width="17.5703125" style="3" customWidth="1"/>
    <col min="5690" max="5690" width="14.28515625" style="3" customWidth="1"/>
    <col min="5691" max="5691" width="10.28515625" style="3" customWidth="1"/>
    <col min="5692" max="5830" width="8.85546875" style="3" customWidth="1"/>
    <col min="5831" max="5831" width="3.28515625" style="3" customWidth="1"/>
    <col min="5832" max="5832" width="4.7109375" style="3" customWidth="1"/>
    <col min="5833" max="5833" width="16.7109375" style="3" customWidth="1"/>
    <col min="5834" max="5865" width="8.85546875" style="3" customWidth="1"/>
    <col min="5866" max="5866" width="12" style="3" customWidth="1"/>
    <col min="5867" max="5868" width="8.85546875" style="3" customWidth="1"/>
    <col min="5869" max="5869" width="10.42578125" style="3" customWidth="1"/>
    <col min="5870" max="5870" width="12.85546875" style="3" customWidth="1"/>
    <col min="5871" max="5871" width="9.28515625" style="3" bestFit="1" customWidth="1"/>
    <col min="5872" max="5872" width="8.85546875" style="3" customWidth="1"/>
    <col min="5873" max="5873" width="11.7109375" style="3" customWidth="1"/>
    <col min="5874" max="5874" width="12.140625" style="3" customWidth="1"/>
    <col min="5875" max="5875" width="9.28515625" style="3" bestFit="1" customWidth="1"/>
    <col min="5876" max="5876" width="8.85546875" style="3" customWidth="1"/>
    <col min="5877" max="5878" width="11.7109375" style="3" customWidth="1"/>
    <col min="5879" max="5879" width="9.28515625" style="3" bestFit="1" customWidth="1"/>
    <col min="5880" max="5880" width="8.85546875" style="3" customWidth="1"/>
    <col min="5881" max="5881" width="11.85546875" style="3" bestFit="1" customWidth="1"/>
    <col min="5882" max="5883" width="8.85546875" style="3" customWidth="1"/>
    <col min="5884" max="5884" width="12.28515625" style="3" bestFit="1" customWidth="1"/>
    <col min="5885" max="5885" width="10.85546875" style="3" customWidth="1"/>
    <col min="5886" max="5886" width="9.7109375" style="3" customWidth="1"/>
    <col min="5887" max="5887" width="13.28515625" style="3" customWidth="1"/>
    <col min="5888" max="5888" width="9.5703125" style="3"/>
    <col min="5889" max="5889" width="3.28515625" style="3" customWidth="1"/>
    <col min="5890" max="5890" width="11.28515625" style="3" bestFit="1" customWidth="1"/>
    <col min="5891" max="5891" width="20.5703125" style="3" customWidth="1"/>
    <col min="5892" max="5892" width="13.5703125" style="3" customWidth="1"/>
    <col min="5893" max="5893" width="12.140625" style="3" customWidth="1"/>
    <col min="5894" max="5894" width="8.5703125" style="3" customWidth="1"/>
    <col min="5895" max="5895" width="12.42578125" style="3" customWidth="1"/>
    <col min="5896" max="5896" width="12.42578125" style="3" bestFit="1" customWidth="1"/>
    <col min="5897" max="5897" width="12.140625" style="3" customWidth="1"/>
    <col min="5898" max="5898" width="8.5703125" style="3" customWidth="1"/>
    <col min="5899" max="5899" width="12.42578125" style="3" customWidth="1"/>
    <col min="5900" max="5900" width="12.42578125" style="3" bestFit="1" customWidth="1"/>
    <col min="5901" max="5901" width="12.140625" style="3" customWidth="1"/>
    <col min="5902" max="5902" width="8.5703125" style="3" customWidth="1"/>
    <col min="5903" max="5903" width="12.42578125" style="3" customWidth="1"/>
    <col min="5904" max="5904" width="12.42578125" style="3" bestFit="1" customWidth="1"/>
    <col min="5905" max="5905" width="12.140625" style="3" customWidth="1"/>
    <col min="5906" max="5906" width="8.5703125" style="3" customWidth="1"/>
    <col min="5907" max="5907" width="12.42578125" style="3" customWidth="1"/>
    <col min="5908" max="5908" width="12.42578125" style="3" bestFit="1" customWidth="1"/>
    <col min="5909" max="5909" width="12.140625" style="3" customWidth="1"/>
    <col min="5910" max="5910" width="8.5703125" style="3" customWidth="1"/>
    <col min="5911" max="5911" width="12.42578125" style="3" customWidth="1"/>
    <col min="5912" max="5912" width="12.42578125" style="3" bestFit="1" customWidth="1"/>
    <col min="5913" max="5913" width="12.140625" style="3" customWidth="1"/>
    <col min="5914" max="5914" width="8.5703125" style="3" customWidth="1"/>
    <col min="5915" max="5915" width="12.42578125" style="3" customWidth="1"/>
    <col min="5916" max="5916" width="12.42578125" style="3" bestFit="1" customWidth="1"/>
    <col min="5917" max="5917" width="12.140625" style="3" customWidth="1"/>
    <col min="5918" max="5918" width="8.5703125" style="3" customWidth="1"/>
    <col min="5919" max="5919" width="12.42578125" style="3" customWidth="1"/>
    <col min="5920" max="5920" width="12.42578125" style="3" bestFit="1" customWidth="1"/>
    <col min="5921" max="5921" width="12.140625" style="3" customWidth="1"/>
    <col min="5922" max="5922" width="8.5703125" style="3" customWidth="1"/>
    <col min="5923" max="5923" width="12.42578125" style="3" customWidth="1"/>
    <col min="5924" max="5924" width="12.42578125" style="3" bestFit="1" customWidth="1"/>
    <col min="5925" max="5925" width="12.140625" style="3" customWidth="1"/>
    <col min="5926" max="5926" width="8.5703125" style="3" customWidth="1"/>
    <col min="5927" max="5927" width="12.42578125" style="3" customWidth="1"/>
    <col min="5928" max="5928" width="12.42578125" style="3" bestFit="1" customWidth="1"/>
    <col min="5929" max="5929" width="12.140625" style="3" customWidth="1"/>
    <col min="5930" max="5930" width="8.5703125" style="3" customWidth="1"/>
    <col min="5931" max="5931" width="12.42578125" style="3" customWidth="1"/>
    <col min="5932" max="5932" width="12.42578125" style="3" bestFit="1" customWidth="1"/>
    <col min="5933" max="5933" width="12.140625" style="3" customWidth="1"/>
    <col min="5934" max="5934" width="8.5703125" style="3" customWidth="1"/>
    <col min="5935" max="5935" width="12.42578125" style="3" customWidth="1"/>
    <col min="5936" max="5936" width="12.42578125" style="3" bestFit="1" customWidth="1"/>
    <col min="5937" max="5937" width="12.140625" style="3" customWidth="1"/>
    <col min="5938" max="5938" width="8.5703125" style="3" customWidth="1"/>
    <col min="5939" max="5939" width="12.42578125" style="3" customWidth="1"/>
    <col min="5940" max="5940" width="14.28515625" style="3" customWidth="1"/>
    <col min="5941" max="5943" width="12.42578125" style="3" customWidth="1"/>
    <col min="5944" max="5944" width="17.85546875" style="3" customWidth="1"/>
    <col min="5945" max="5945" width="17.5703125" style="3" customWidth="1"/>
    <col min="5946" max="5946" width="14.28515625" style="3" customWidth="1"/>
    <col min="5947" max="5947" width="10.28515625" style="3" customWidth="1"/>
    <col min="5948" max="6086" width="8.85546875" style="3" customWidth="1"/>
    <col min="6087" max="6087" width="3.28515625" style="3" customWidth="1"/>
    <col min="6088" max="6088" width="4.7109375" style="3" customWidth="1"/>
    <col min="6089" max="6089" width="16.7109375" style="3" customWidth="1"/>
    <col min="6090" max="6121" width="8.85546875" style="3" customWidth="1"/>
    <col min="6122" max="6122" width="12" style="3" customWidth="1"/>
    <col min="6123" max="6124" width="8.85546875" style="3" customWidth="1"/>
    <col min="6125" max="6125" width="10.42578125" style="3" customWidth="1"/>
    <col min="6126" max="6126" width="12.85546875" style="3" customWidth="1"/>
    <col min="6127" max="6127" width="9.28515625" style="3" bestFit="1" customWidth="1"/>
    <col min="6128" max="6128" width="8.85546875" style="3" customWidth="1"/>
    <col min="6129" max="6129" width="11.7109375" style="3" customWidth="1"/>
    <col min="6130" max="6130" width="12.140625" style="3" customWidth="1"/>
    <col min="6131" max="6131" width="9.28515625" style="3" bestFit="1" customWidth="1"/>
    <col min="6132" max="6132" width="8.85546875" style="3" customWidth="1"/>
    <col min="6133" max="6134" width="11.7109375" style="3" customWidth="1"/>
    <col min="6135" max="6135" width="9.28515625" style="3" bestFit="1" customWidth="1"/>
    <col min="6136" max="6136" width="8.85546875" style="3" customWidth="1"/>
    <col min="6137" max="6137" width="11.85546875" style="3" bestFit="1" customWidth="1"/>
    <col min="6138" max="6139" width="8.85546875" style="3" customWidth="1"/>
    <col min="6140" max="6140" width="12.28515625" style="3" bestFit="1" customWidth="1"/>
    <col min="6141" max="6141" width="10.85546875" style="3" customWidth="1"/>
    <col min="6142" max="6142" width="9.7109375" style="3" customWidth="1"/>
    <col min="6143" max="6143" width="13.28515625" style="3" customWidth="1"/>
    <col min="6144" max="6144" width="9.5703125" style="3"/>
    <col min="6145" max="6145" width="3.28515625" style="3" customWidth="1"/>
    <col min="6146" max="6146" width="11.28515625" style="3" bestFit="1" customWidth="1"/>
    <col min="6147" max="6147" width="20.5703125" style="3" customWidth="1"/>
    <col min="6148" max="6148" width="13.5703125" style="3" customWidth="1"/>
    <col min="6149" max="6149" width="12.140625" style="3" customWidth="1"/>
    <col min="6150" max="6150" width="8.5703125" style="3" customWidth="1"/>
    <col min="6151" max="6151" width="12.42578125" style="3" customWidth="1"/>
    <col min="6152" max="6152" width="12.42578125" style="3" bestFit="1" customWidth="1"/>
    <col min="6153" max="6153" width="12.140625" style="3" customWidth="1"/>
    <col min="6154" max="6154" width="8.5703125" style="3" customWidth="1"/>
    <col min="6155" max="6155" width="12.42578125" style="3" customWidth="1"/>
    <col min="6156" max="6156" width="12.42578125" style="3" bestFit="1" customWidth="1"/>
    <col min="6157" max="6157" width="12.140625" style="3" customWidth="1"/>
    <col min="6158" max="6158" width="8.5703125" style="3" customWidth="1"/>
    <col min="6159" max="6159" width="12.42578125" style="3" customWidth="1"/>
    <col min="6160" max="6160" width="12.42578125" style="3" bestFit="1" customWidth="1"/>
    <col min="6161" max="6161" width="12.140625" style="3" customWidth="1"/>
    <col min="6162" max="6162" width="8.5703125" style="3" customWidth="1"/>
    <col min="6163" max="6163" width="12.42578125" style="3" customWidth="1"/>
    <col min="6164" max="6164" width="12.42578125" style="3" bestFit="1" customWidth="1"/>
    <col min="6165" max="6165" width="12.140625" style="3" customWidth="1"/>
    <col min="6166" max="6166" width="8.5703125" style="3" customWidth="1"/>
    <col min="6167" max="6167" width="12.42578125" style="3" customWidth="1"/>
    <col min="6168" max="6168" width="12.42578125" style="3" bestFit="1" customWidth="1"/>
    <col min="6169" max="6169" width="12.140625" style="3" customWidth="1"/>
    <col min="6170" max="6170" width="8.5703125" style="3" customWidth="1"/>
    <col min="6171" max="6171" width="12.42578125" style="3" customWidth="1"/>
    <col min="6172" max="6172" width="12.42578125" style="3" bestFit="1" customWidth="1"/>
    <col min="6173" max="6173" width="12.140625" style="3" customWidth="1"/>
    <col min="6174" max="6174" width="8.5703125" style="3" customWidth="1"/>
    <col min="6175" max="6175" width="12.42578125" style="3" customWidth="1"/>
    <col min="6176" max="6176" width="12.42578125" style="3" bestFit="1" customWidth="1"/>
    <col min="6177" max="6177" width="12.140625" style="3" customWidth="1"/>
    <col min="6178" max="6178" width="8.5703125" style="3" customWidth="1"/>
    <col min="6179" max="6179" width="12.42578125" style="3" customWidth="1"/>
    <col min="6180" max="6180" width="12.42578125" style="3" bestFit="1" customWidth="1"/>
    <col min="6181" max="6181" width="12.140625" style="3" customWidth="1"/>
    <col min="6182" max="6182" width="8.5703125" style="3" customWidth="1"/>
    <col min="6183" max="6183" width="12.42578125" style="3" customWidth="1"/>
    <col min="6184" max="6184" width="12.42578125" style="3" bestFit="1" customWidth="1"/>
    <col min="6185" max="6185" width="12.140625" style="3" customWidth="1"/>
    <col min="6186" max="6186" width="8.5703125" style="3" customWidth="1"/>
    <col min="6187" max="6187" width="12.42578125" style="3" customWidth="1"/>
    <col min="6188" max="6188" width="12.42578125" style="3" bestFit="1" customWidth="1"/>
    <col min="6189" max="6189" width="12.140625" style="3" customWidth="1"/>
    <col min="6190" max="6190" width="8.5703125" style="3" customWidth="1"/>
    <col min="6191" max="6191" width="12.42578125" style="3" customWidth="1"/>
    <col min="6192" max="6192" width="12.42578125" style="3" bestFit="1" customWidth="1"/>
    <col min="6193" max="6193" width="12.140625" style="3" customWidth="1"/>
    <col min="6194" max="6194" width="8.5703125" style="3" customWidth="1"/>
    <col min="6195" max="6195" width="12.42578125" style="3" customWidth="1"/>
    <col min="6196" max="6196" width="14.28515625" style="3" customWidth="1"/>
    <col min="6197" max="6199" width="12.42578125" style="3" customWidth="1"/>
    <col min="6200" max="6200" width="17.85546875" style="3" customWidth="1"/>
    <col min="6201" max="6201" width="17.5703125" style="3" customWidth="1"/>
    <col min="6202" max="6202" width="14.28515625" style="3" customWidth="1"/>
    <col min="6203" max="6203" width="10.28515625" style="3" customWidth="1"/>
    <col min="6204" max="6342" width="8.85546875" style="3" customWidth="1"/>
    <col min="6343" max="6343" width="3.28515625" style="3" customWidth="1"/>
    <col min="6344" max="6344" width="4.7109375" style="3" customWidth="1"/>
    <col min="6345" max="6345" width="16.7109375" style="3" customWidth="1"/>
    <col min="6346" max="6377" width="8.85546875" style="3" customWidth="1"/>
    <col min="6378" max="6378" width="12" style="3" customWidth="1"/>
    <col min="6379" max="6380" width="8.85546875" style="3" customWidth="1"/>
    <col min="6381" max="6381" width="10.42578125" style="3" customWidth="1"/>
    <col min="6382" max="6382" width="12.85546875" style="3" customWidth="1"/>
    <col min="6383" max="6383" width="9.28515625" style="3" bestFit="1" customWidth="1"/>
    <col min="6384" max="6384" width="8.85546875" style="3" customWidth="1"/>
    <col min="6385" max="6385" width="11.7109375" style="3" customWidth="1"/>
    <col min="6386" max="6386" width="12.140625" style="3" customWidth="1"/>
    <col min="6387" max="6387" width="9.28515625" style="3" bestFit="1" customWidth="1"/>
    <col min="6388" max="6388" width="8.85546875" style="3" customWidth="1"/>
    <col min="6389" max="6390" width="11.7109375" style="3" customWidth="1"/>
    <col min="6391" max="6391" width="9.28515625" style="3" bestFit="1" customWidth="1"/>
    <col min="6392" max="6392" width="8.85546875" style="3" customWidth="1"/>
    <col min="6393" max="6393" width="11.85546875" style="3" bestFit="1" customWidth="1"/>
    <col min="6394" max="6395" width="8.85546875" style="3" customWidth="1"/>
    <col min="6396" max="6396" width="12.28515625" style="3" bestFit="1" customWidth="1"/>
    <col min="6397" max="6397" width="10.85546875" style="3" customWidth="1"/>
    <col min="6398" max="6398" width="9.7109375" style="3" customWidth="1"/>
    <col min="6399" max="6399" width="13.28515625" style="3" customWidth="1"/>
    <col min="6400" max="6400" width="9.5703125" style="3"/>
    <col min="6401" max="6401" width="3.28515625" style="3" customWidth="1"/>
    <col min="6402" max="6402" width="11.28515625" style="3" bestFit="1" customWidth="1"/>
    <col min="6403" max="6403" width="20.5703125" style="3" customWidth="1"/>
    <col min="6404" max="6404" width="13.5703125" style="3" customWidth="1"/>
    <col min="6405" max="6405" width="12.140625" style="3" customWidth="1"/>
    <col min="6406" max="6406" width="8.5703125" style="3" customWidth="1"/>
    <col min="6407" max="6407" width="12.42578125" style="3" customWidth="1"/>
    <col min="6408" max="6408" width="12.42578125" style="3" bestFit="1" customWidth="1"/>
    <col min="6409" max="6409" width="12.140625" style="3" customWidth="1"/>
    <col min="6410" max="6410" width="8.5703125" style="3" customWidth="1"/>
    <col min="6411" max="6411" width="12.42578125" style="3" customWidth="1"/>
    <col min="6412" max="6412" width="12.42578125" style="3" bestFit="1" customWidth="1"/>
    <col min="6413" max="6413" width="12.140625" style="3" customWidth="1"/>
    <col min="6414" max="6414" width="8.5703125" style="3" customWidth="1"/>
    <col min="6415" max="6415" width="12.42578125" style="3" customWidth="1"/>
    <col min="6416" max="6416" width="12.42578125" style="3" bestFit="1" customWidth="1"/>
    <col min="6417" max="6417" width="12.140625" style="3" customWidth="1"/>
    <col min="6418" max="6418" width="8.5703125" style="3" customWidth="1"/>
    <col min="6419" max="6419" width="12.42578125" style="3" customWidth="1"/>
    <col min="6420" max="6420" width="12.42578125" style="3" bestFit="1" customWidth="1"/>
    <col min="6421" max="6421" width="12.140625" style="3" customWidth="1"/>
    <col min="6422" max="6422" width="8.5703125" style="3" customWidth="1"/>
    <col min="6423" max="6423" width="12.42578125" style="3" customWidth="1"/>
    <col min="6424" max="6424" width="12.42578125" style="3" bestFit="1" customWidth="1"/>
    <col min="6425" max="6425" width="12.140625" style="3" customWidth="1"/>
    <col min="6426" max="6426" width="8.5703125" style="3" customWidth="1"/>
    <col min="6427" max="6427" width="12.42578125" style="3" customWidth="1"/>
    <col min="6428" max="6428" width="12.42578125" style="3" bestFit="1" customWidth="1"/>
    <col min="6429" max="6429" width="12.140625" style="3" customWidth="1"/>
    <col min="6430" max="6430" width="8.5703125" style="3" customWidth="1"/>
    <col min="6431" max="6431" width="12.42578125" style="3" customWidth="1"/>
    <col min="6432" max="6432" width="12.42578125" style="3" bestFit="1" customWidth="1"/>
    <col min="6433" max="6433" width="12.140625" style="3" customWidth="1"/>
    <col min="6434" max="6434" width="8.5703125" style="3" customWidth="1"/>
    <col min="6435" max="6435" width="12.42578125" style="3" customWidth="1"/>
    <col min="6436" max="6436" width="12.42578125" style="3" bestFit="1" customWidth="1"/>
    <col min="6437" max="6437" width="12.140625" style="3" customWidth="1"/>
    <col min="6438" max="6438" width="8.5703125" style="3" customWidth="1"/>
    <col min="6439" max="6439" width="12.42578125" style="3" customWidth="1"/>
    <col min="6440" max="6440" width="12.42578125" style="3" bestFit="1" customWidth="1"/>
    <col min="6441" max="6441" width="12.140625" style="3" customWidth="1"/>
    <col min="6442" max="6442" width="8.5703125" style="3" customWidth="1"/>
    <col min="6443" max="6443" width="12.42578125" style="3" customWidth="1"/>
    <col min="6444" max="6444" width="12.42578125" style="3" bestFit="1" customWidth="1"/>
    <col min="6445" max="6445" width="12.140625" style="3" customWidth="1"/>
    <col min="6446" max="6446" width="8.5703125" style="3" customWidth="1"/>
    <col min="6447" max="6447" width="12.42578125" style="3" customWidth="1"/>
    <col min="6448" max="6448" width="12.42578125" style="3" bestFit="1" customWidth="1"/>
    <col min="6449" max="6449" width="12.140625" style="3" customWidth="1"/>
    <col min="6450" max="6450" width="8.5703125" style="3" customWidth="1"/>
    <col min="6451" max="6451" width="12.42578125" style="3" customWidth="1"/>
    <col min="6452" max="6452" width="14.28515625" style="3" customWidth="1"/>
    <col min="6453" max="6455" width="12.42578125" style="3" customWidth="1"/>
    <col min="6456" max="6456" width="17.85546875" style="3" customWidth="1"/>
    <col min="6457" max="6457" width="17.5703125" style="3" customWidth="1"/>
    <col min="6458" max="6458" width="14.28515625" style="3" customWidth="1"/>
    <col min="6459" max="6459" width="10.28515625" style="3" customWidth="1"/>
    <col min="6460" max="6598" width="8.85546875" style="3" customWidth="1"/>
    <col min="6599" max="6599" width="3.28515625" style="3" customWidth="1"/>
    <col min="6600" max="6600" width="4.7109375" style="3" customWidth="1"/>
    <col min="6601" max="6601" width="16.7109375" style="3" customWidth="1"/>
    <col min="6602" max="6633" width="8.85546875" style="3" customWidth="1"/>
    <col min="6634" max="6634" width="12" style="3" customWidth="1"/>
    <col min="6635" max="6636" width="8.85546875" style="3" customWidth="1"/>
    <col min="6637" max="6637" width="10.42578125" style="3" customWidth="1"/>
    <col min="6638" max="6638" width="12.85546875" style="3" customWidth="1"/>
    <col min="6639" max="6639" width="9.28515625" style="3" bestFit="1" customWidth="1"/>
    <col min="6640" max="6640" width="8.85546875" style="3" customWidth="1"/>
    <col min="6641" max="6641" width="11.7109375" style="3" customWidth="1"/>
    <col min="6642" max="6642" width="12.140625" style="3" customWidth="1"/>
    <col min="6643" max="6643" width="9.28515625" style="3" bestFit="1" customWidth="1"/>
    <col min="6644" max="6644" width="8.85546875" style="3" customWidth="1"/>
    <col min="6645" max="6646" width="11.7109375" style="3" customWidth="1"/>
    <col min="6647" max="6647" width="9.28515625" style="3" bestFit="1" customWidth="1"/>
    <col min="6648" max="6648" width="8.85546875" style="3" customWidth="1"/>
    <col min="6649" max="6649" width="11.85546875" style="3" bestFit="1" customWidth="1"/>
    <col min="6650" max="6651" width="8.85546875" style="3" customWidth="1"/>
    <col min="6652" max="6652" width="12.28515625" style="3" bestFit="1" customWidth="1"/>
    <col min="6653" max="6653" width="10.85546875" style="3" customWidth="1"/>
    <col min="6654" max="6654" width="9.7109375" style="3" customWidth="1"/>
    <col min="6655" max="6655" width="13.28515625" style="3" customWidth="1"/>
    <col min="6656" max="6656" width="9.5703125" style="3"/>
    <col min="6657" max="6657" width="3.28515625" style="3" customWidth="1"/>
    <col min="6658" max="6658" width="11.28515625" style="3" bestFit="1" customWidth="1"/>
    <col min="6659" max="6659" width="20.5703125" style="3" customWidth="1"/>
    <col min="6660" max="6660" width="13.5703125" style="3" customWidth="1"/>
    <col min="6661" max="6661" width="12.140625" style="3" customWidth="1"/>
    <col min="6662" max="6662" width="8.5703125" style="3" customWidth="1"/>
    <col min="6663" max="6663" width="12.42578125" style="3" customWidth="1"/>
    <col min="6664" max="6664" width="12.42578125" style="3" bestFit="1" customWidth="1"/>
    <col min="6665" max="6665" width="12.140625" style="3" customWidth="1"/>
    <col min="6666" max="6666" width="8.5703125" style="3" customWidth="1"/>
    <col min="6667" max="6667" width="12.42578125" style="3" customWidth="1"/>
    <col min="6668" max="6668" width="12.42578125" style="3" bestFit="1" customWidth="1"/>
    <col min="6669" max="6669" width="12.140625" style="3" customWidth="1"/>
    <col min="6670" max="6670" width="8.5703125" style="3" customWidth="1"/>
    <col min="6671" max="6671" width="12.42578125" style="3" customWidth="1"/>
    <col min="6672" max="6672" width="12.42578125" style="3" bestFit="1" customWidth="1"/>
    <col min="6673" max="6673" width="12.140625" style="3" customWidth="1"/>
    <col min="6674" max="6674" width="8.5703125" style="3" customWidth="1"/>
    <col min="6675" max="6675" width="12.42578125" style="3" customWidth="1"/>
    <col min="6676" max="6676" width="12.42578125" style="3" bestFit="1" customWidth="1"/>
    <col min="6677" max="6677" width="12.140625" style="3" customWidth="1"/>
    <col min="6678" max="6678" width="8.5703125" style="3" customWidth="1"/>
    <col min="6679" max="6679" width="12.42578125" style="3" customWidth="1"/>
    <col min="6680" max="6680" width="12.42578125" style="3" bestFit="1" customWidth="1"/>
    <col min="6681" max="6681" width="12.140625" style="3" customWidth="1"/>
    <col min="6682" max="6682" width="8.5703125" style="3" customWidth="1"/>
    <col min="6683" max="6683" width="12.42578125" style="3" customWidth="1"/>
    <col min="6684" max="6684" width="12.42578125" style="3" bestFit="1" customWidth="1"/>
    <col min="6685" max="6685" width="12.140625" style="3" customWidth="1"/>
    <col min="6686" max="6686" width="8.5703125" style="3" customWidth="1"/>
    <col min="6687" max="6687" width="12.42578125" style="3" customWidth="1"/>
    <col min="6688" max="6688" width="12.42578125" style="3" bestFit="1" customWidth="1"/>
    <col min="6689" max="6689" width="12.140625" style="3" customWidth="1"/>
    <col min="6690" max="6690" width="8.5703125" style="3" customWidth="1"/>
    <col min="6691" max="6691" width="12.42578125" style="3" customWidth="1"/>
    <col min="6692" max="6692" width="12.42578125" style="3" bestFit="1" customWidth="1"/>
    <col min="6693" max="6693" width="12.140625" style="3" customWidth="1"/>
    <col min="6694" max="6694" width="8.5703125" style="3" customWidth="1"/>
    <col min="6695" max="6695" width="12.42578125" style="3" customWidth="1"/>
    <col min="6696" max="6696" width="12.42578125" style="3" bestFit="1" customWidth="1"/>
    <col min="6697" max="6697" width="12.140625" style="3" customWidth="1"/>
    <col min="6698" max="6698" width="8.5703125" style="3" customWidth="1"/>
    <col min="6699" max="6699" width="12.42578125" style="3" customWidth="1"/>
    <col min="6700" max="6700" width="12.42578125" style="3" bestFit="1" customWidth="1"/>
    <col min="6701" max="6701" width="12.140625" style="3" customWidth="1"/>
    <col min="6702" max="6702" width="8.5703125" style="3" customWidth="1"/>
    <col min="6703" max="6703" width="12.42578125" style="3" customWidth="1"/>
    <col min="6704" max="6704" width="12.42578125" style="3" bestFit="1" customWidth="1"/>
    <col min="6705" max="6705" width="12.140625" style="3" customWidth="1"/>
    <col min="6706" max="6706" width="8.5703125" style="3" customWidth="1"/>
    <col min="6707" max="6707" width="12.42578125" style="3" customWidth="1"/>
    <col min="6708" max="6708" width="14.28515625" style="3" customWidth="1"/>
    <col min="6709" max="6711" width="12.42578125" style="3" customWidth="1"/>
    <col min="6712" max="6712" width="17.85546875" style="3" customWidth="1"/>
    <col min="6713" max="6713" width="17.5703125" style="3" customWidth="1"/>
    <col min="6714" max="6714" width="14.28515625" style="3" customWidth="1"/>
    <col min="6715" max="6715" width="10.28515625" style="3" customWidth="1"/>
    <col min="6716" max="6854" width="8.85546875" style="3" customWidth="1"/>
    <col min="6855" max="6855" width="3.28515625" style="3" customWidth="1"/>
    <col min="6856" max="6856" width="4.7109375" style="3" customWidth="1"/>
    <col min="6857" max="6857" width="16.7109375" style="3" customWidth="1"/>
    <col min="6858" max="6889" width="8.85546875" style="3" customWidth="1"/>
    <col min="6890" max="6890" width="12" style="3" customWidth="1"/>
    <col min="6891" max="6892" width="8.85546875" style="3" customWidth="1"/>
    <col min="6893" max="6893" width="10.42578125" style="3" customWidth="1"/>
    <col min="6894" max="6894" width="12.85546875" style="3" customWidth="1"/>
    <col min="6895" max="6895" width="9.28515625" style="3" bestFit="1" customWidth="1"/>
    <col min="6896" max="6896" width="8.85546875" style="3" customWidth="1"/>
    <col min="6897" max="6897" width="11.7109375" style="3" customWidth="1"/>
    <col min="6898" max="6898" width="12.140625" style="3" customWidth="1"/>
    <col min="6899" max="6899" width="9.28515625" style="3" bestFit="1" customWidth="1"/>
    <col min="6900" max="6900" width="8.85546875" style="3" customWidth="1"/>
    <col min="6901" max="6902" width="11.7109375" style="3" customWidth="1"/>
    <col min="6903" max="6903" width="9.28515625" style="3" bestFit="1" customWidth="1"/>
    <col min="6904" max="6904" width="8.85546875" style="3" customWidth="1"/>
    <col min="6905" max="6905" width="11.85546875" style="3" bestFit="1" customWidth="1"/>
    <col min="6906" max="6907" width="8.85546875" style="3" customWidth="1"/>
    <col min="6908" max="6908" width="12.28515625" style="3" bestFit="1" customWidth="1"/>
    <col min="6909" max="6909" width="10.85546875" style="3" customWidth="1"/>
    <col min="6910" max="6910" width="9.7109375" style="3" customWidth="1"/>
    <col min="6911" max="6911" width="13.28515625" style="3" customWidth="1"/>
    <col min="6912" max="6912" width="9.5703125" style="3"/>
    <col min="6913" max="6913" width="3.28515625" style="3" customWidth="1"/>
    <col min="6914" max="6914" width="11.28515625" style="3" bestFit="1" customWidth="1"/>
    <col min="6915" max="6915" width="20.5703125" style="3" customWidth="1"/>
    <col min="6916" max="6916" width="13.5703125" style="3" customWidth="1"/>
    <col min="6917" max="6917" width="12.140625" style="3" customWidth="1"/>
    <col min="6918" max="6918" width="8.5703125" style="3" customWidth="1"/>
    <col min="6919" max="6919" width="12.42578125" style="3" customWidth="1"/>
    <col min="6920" max="6920" width="12.42578125" style="3" bestFit="1" customWidth="1"/>
    <col min="6921" max="6921" width="12.140625" style="3" customWidth="1"/>
    <col min="6922" max="6922" width="8.5703125" style="3" customWidth="1"/>
    <col min="6923" max="6923" width="12.42578125" style="3" customWidth="1"/>
    <col min="6924" max="6924" width="12.42578125" style="3" bestFit="1" customWidth="1"/>
    <col min="6925" max="6925" width="12.140625" style="3" customWidth="1"/>
    <col min="6926" max="6926" width="8.5703125" style="3" customWidth="1"/>
    <col min="6927" max="6927" width="12.42578125" style="3" customWidth="1"/>
    <col min="6928" max="6928" width="12.42578125" style="3" bestFit="1" customWidth="1"/>
    <col min="6929" max="6929" width="12.140625" style="3" customWidth="1"/>
    <col min="6930" max="6930" width="8.5703125" style="3" customWidth="1"/>
    <col min="6931" max="6931" width="12.42578125" style="3" customWidth="1"/>
    <col min="6932" max="6932" width="12.42578125" style="3" bestFit="1" customWidth="1"/>
    <col min="6933" max="6933" width="12.140625" style="3" customWidth="1"/>
    <col min="6934" max="6934" width="8.5703125" style="3" customWidth="1"/>
    <col min="6935" max="6935" width="12.42578125" style="3" customWidth="1"/>
    <col min="6936" max="6936" width="12.42578125" style="3" bestFit="1" customWidth="1"/>
    <col min="6937" max="6937" width="12.140625" style="3" customWidth="1"/>
    <col min="6938" max="6938" width="8.5703125" style="3" customWidth="1"/>
    <col min="6939" max="6939" width="12.42578125" style="3" customWidth="1"/>
    <col min="6940" max="6940" width="12.42578125" style="3" bestFit="1" customWidth="1"/>
    <col min="6941" max="6941" width="12.140625" style="3" customWidth="1"/>
    <col min="6942" max="6942" width="8.5703125" style="3" customWidth="1"/>
    <col min="6943" max="6943" width="12.42578125" style="3" customWidth="1"/>
    <col min="6944" max="6944" width="12.42578125" style="3" bestFit="1" customWidth="1"/>
    <col min="6945" max="6945" width="12.140625" style="3" customWidth="1"/>
    <col min="6946" max="6946" width="8.5703125" style="3" customWidth="1"/>
    <col min="6947" max="6947" width="12.42578125" style="3" customWidth="1"/>
    <col min="6948" max="6948" width="12.42578125" style="3" bestFit="1" customWidth="1"/>
    <col min="6949" max="6949" width="12.140625" style="3" customWidth="1"/>
    <col min="6950" max="6950" width="8.5703125" style="3" customWidth="1"/>
    <col min="6951" max="6951" width="12.42578125" style="3" customWidth="1"/>
    <col min="6952" max="6952" width="12.42578125" style="3" bestFit="1" customWidth="1"/>
    <col min="6953" max="6953" width="12.140625" style="3" customWidth="1"/>
    <col min="6954" max="6954" width="8.5703125" style="3" customWidth="1"/>
    <col min="6955" max="6955" width="12.42578125" style="3" customWidth="1"/>
    <col min="6956" max="6956" width="12.42578125" style="3" bestFit="1" customWidth="1"/>
    <col min="6957" max="6957" width="12.140625" style="3" customWidth="1"/>
    <col min="6958" max="6958" width="8.5703125" style="3" customWidth="1"/>
    <col min="6959" max="6959" width="12.42578125" style="3" customWidth="1"/>
    <col min="6960" max="6960" width="12.42578125" style="3" bestFit="1" customWidth="1"/>
    <col min="6961" max="6961" width="12.140625" style="3" customWidth="1"/>
    <col min="6962" max="6962" width="8.5703125" style="3" customWidth="1"/>
    <col min="6963" max="6963" width="12.42578125" style="3" customWidth="1"/>
    <col min="6964" max="6964" width="14.28515625" style="3" customWidth="1"/>
    <col min="6965" max="6967" width="12.42578125" style="3" customWidth="1"/>
    <col min="6968" max="6968" width="17.85546875" style="3" customWidth="1"/>
    <col min="6969" max="6969" width="17.5703125" style="3" customWidth="1"/>
    <col min="6970" max="6970" width="14.28515625" style="3" customWidth="1"/>
    <col min="6971" max="6971" width="10.28515625" style="3" customWidth="1"/>
    <col min="6972" max="7110" width="8.85546875" style="3" customWidth="1"/>
    <col min="7111" max="7111" width="3.28515625" style="3" customWidth="1"/>
    <col min="7112" max="7112" width="4.7109375" style="3" customWidth="1"/>
    <col min="7113" max="7113" width="16.7109375" style="3" customWidth="1"/>
    <col min="7114" max="7145" width="8.85546875" style="3" customWidth="1"/>
    <col min="7146" max="7146" width="12" style="3" customWidth="1"/>
    <col min="7147" max="7148" width="8.85546875" style="3" customWidth="1"/>
    <col min="7149" max="7149" width="10.42578125" style="3" customWidth="1"/>
    <col min="7150" max="7150" width="12.85546875" style="3" customWidth="1"/>
    <col min="7151" max="7151" width="9.28515625" style="3" bestFit="1" customWidth="1"/>
    <col min="7152" max="7152" width="8.85546875" style="3" customWidth="1"/>
    <col min="7153" max="7153" width="11.7109375" style="3" customWidth="1"/>
    <col min="7154" max="7154" width="12.140625" style="3" customWidth="1"/>
    <col min="7155" max="7155" width="9.28515625" style="3" bestFit="1" customWidth="1"/>
    <col min="7156" max="7156" width="8.85546875" style="3" customWidth="1"/>
    <col min="7157" max="7158" width="11.7109375" style="3" customWidth="1"/>
    <col min="7159" max="7159" width="9.28515625" style="3" bestFit="1" customWidth="1"/>
    <col min="7160" max="7160" width="8.85546875" style="3" customWidth="1"/>
    <col min="7161" max="7161" width="11.85546875" style="3" bestFit="1" customWidth="1"/>
    <col min="7162" max="7163" width="8.85546875" style="3" customWidth="1"/>
    <col min="7164" max="7164" width="12.28515625" style="3" bestFit="1" customWidth="1"/>
    <col min="7165" max="7165" width="10.85546875" style="3" customWidth="1"/>
    <col min="7166" max="7166" width="9.7109375" style="3" customWidth="1"/>
    <col min="7167" max="7167" width="13.28515625" style="3" customWidth="1"/>
    <col min="7168" max="7168" width="9.5703125" style="3"/>
    <col min="7169" max="7169" width="3.28515625" style="3" customWidth="1"/>
    <col min="7170" max="7170" width="11.28515625" style="3" bestFit="1" customWidth="1"/>
    <col min="7171" max="7171" width="20.5703125" style="3" customWidth="1"/>
    <col min="7172" max="7172" width="13.5703125" style="3" customWidth="1"/>
    <col min="7173" max="7173" width="12.140625" style="3" customWidth="1"/>
    <col min="7174" max="7174" width="8.5703125" style="3" customWidth="1"/>
    <col min="7175" max="7175" width="12.42578125" style="3" customWidth="1"/>
    <col min="7176" max="7176" width="12.42578125" style="3" bestFit="1" customWidth="1"/>
    <col min="7177" max="7177" width="12.140625" style="3" customWidth="1"/>
    <col min="7178" max="7178" width="8.5703125" style="3" customWidth="1"/>
    <col min="7179" max="7179" width="12.42578125" style="3" customWidth="1"/>
    <col min="7180" max="7180" width="12.42578125" style="3" bestFit="1" customWidth="1"/>
    <col min="7181" max="7181" width="12.140625" style="3" customWidth="1"/>
    <col min="7182" max="7182" width="8.5703125" style="3" customWidth="1"/>
    <col min="7183" max="7183" width="12.42578125" style="3" customWidth="1"/>
    <col min="7184" max="7184" width="12.42578125" style="3" bestFit="1" customWidth="1"/>
    <col min="7185" max="7185" width="12.140625" style="3" customWidth="1"/>
    <col min="7186" max="7186" width="8.5703125" style="3" customWidth="1"/>
    <col min="7187" max="7187" width="12.42578125" style="3" customWidth="1"/>
    <col min="7188" max="7188" width="12.42578125" style="3" bestFit="1" customWidth="1"/>
    <col min="7189" max="7189" width="12.140625" style="3" customWidth="1"/>
    <col min="7190" max="7190" width="8.5703125" style="3" customWidth="1"/>
    <col min="7191" max="7191" width="12.42578125" style="3" customWidth="1"/>
    <col min="7192" max="7192" width="12.42578125" style="3" bestFit="1" customWidth="1"/>
    <col min="7193" max="7193" width="12.140625" style="3" customWidth="1"/>
    <col min="7194" max="7194" width="8.5703125" style="3" customWidth="1"/>
    <col min="7195" max="7195" width="12.42578125" style="3" customWidth="1"/>
    <col min="7196" max="7196" width="12.42578125" style="3" bestFit="1" customWidth="1"/>
    <col min="7197" max="7197" width="12.140625" style="3" customWidth="1"/>
    <col min="7198" max="7198" width="8.5703125" style="3" customWidth="1"/>
    <col min="7199" max="7199" width="12.42578125" style="3" customWidth="1"/>
    <col min="7200" max="7200" width="12.42578125" style="3" bestFit="1" customWidth="1"/>
    <col min="7201" max="7201" width="12.140625" style="3" customWidth="1"/>
    <col min="7202" max="7202" width="8.5703125" style="3" customWidth="1"/>
    <col min="7203" max="7203" width="12.42578125" style="3" customWidth="1"/>
    <col min="7204" max="7204" width="12.42578125" style="3" bestFit="1" customWidth="1"/>
    <col min="7205" max="7205" width="12.140625" style="3" customWidth="1"/>
    <col min="7206" max="7206" width="8.5703125" style="3" customWidth="1"/>
    <col min="7207" max="7207" width="12.42578125" style="3" customWidth="1"/>
    <col min="7208" max="7208" width="12.42578125" style="3" bestFit="1" customWidth="1"/>
    <col min="7209" max="7209" width="12.140625" style="3" customWidth="1"/>
    <col min="7210" max="7210" width="8.5703125" style="3" customWidth="1"/>
    <col min="7211" max="7211" width="12.42578125" style="3" customWidth="1"/>
    <col min="7212" max="7212" width="12.42578125" style="3" bestFit="1" customWidth="1"/>
    <col min="7213" max="7213" width="12.140625" style="3" customWidth="1"/>
    <col min="7214" max="7214" width="8.5703125" style="3" customWidth="1"/>
    <col min="7215" max="7215" width="12.42578125" style="3" customWidth="1"/>
    <col min="7216" max="7216" width="12.42578125" style="3" bestFit="1" customWidth="1"/>
    <col min="7217" max="7217" width="12.140625" style="3" customWidth="1"/>
    <col min="7218" max="7218" width="8.5703125" style="3" customWidth="1"/>
    <col min="7219" max="7219" width="12.42578125" style="3" customWidth="1"/>
    <col min="7220" max="7220" width="14.28515625" style="3" customWidth="1"/>
    <col min="7221" max="7223" width="12.42578125" style="3" customWidth="1"/>
    <col min="7224" max="7224" width="17.85546875" style="3" customWidth="1"/>
    <col min="7225" max="7225" width="17.5703125" style="3" customWidth="1"/>
    <col min="7226" max="7226" width="14.28515625" style="3" customWidth="1"/>
    <col min="7227" max="7227" width="10.28515625" style="3" customWidth="1"/>
    <col min="7228" max="7366" width="8.85546875" style="3" customWidth="1"/>
    <col min="7367" max="7367" width="3.28515625" style="3" customWidth="1"/>
    <col min="7368" max="7368" width="4.7109375" style="3" customWidth="1"/>
    <col min="7369" max="7369" width="16.7109375" style="3" customWidth="1"/>
    <col min="7370" max="7401" width="8.85546875" style="3" customWidth="1"/>
    <col min="7402" max="7402" width="12" style="3" customWidth="1"/>
    <col min="7403" max="7404" width="8.85546875" style="3" customWidth="1"/>
    <col min="7405" max="7405" width="10.42578125" style="3" customWidth="1"/>
    <col min="7406" max="7406" width="12.85546875" style="3" customWidth="1"/>
    <col min="7407" max="7407" width="9.28515625" style="3" bestFit="1" customWidth="1"/>
    <col min="7408" max="7408" width="8.85546875" style="3" customWidth="1"/>
    <col min="7409" max="7409" width="11.7109375" style="3" customWidth="1"/>
    <col min="7410" max="7410" width="12.140625" style="3" customWidth="1"/>
    <col min="7411" max="7411" width="9.28515625" style="3" bestFit="1" customWidth="1"/>
    <col min="7412" max="7412" width="8.85546875" style="3" customWidth="1"/>
    <col min="7413" max="7414" width="11.7109375" style="3" customWidth="1"/>
    <col min="7415" max="7415" width="9.28515625" style="3" bestFit="1" customWidth="1"/>
    <col min="7416" max="7416" width="8.85546875" style="3" customWidth="1"/>
    <col min="7417" max="7417" width="11.85546875" style="3" bestFit="1" customWidth="1"/>
    <col min="7418" max="7419" width="8.85546875" style="3" customWidth="1"/>
    <col min="7420" max="7420" width="12.28515625" style="3" bestFit="1" customWidth="1"/>
    <col min="7421" max="7421" width="10.85546875" style="3" customWidth="1"/>
    <col min="7422" max="7422" width="9.7109375" style="3" customWidth="1"/>
    <col min="7423" max="7423" width="13.28515625" style="3" customWidth="1"/>
    <col min="7424" max="7424" width="9.5703125" style="3"/>
    <col min="7425" max="7425" width="3.28515625" style="3" customWidth="1"/>
    <col min="7426" max="7426" width="11.28515625" style="3" bestFit="1" customWidth="1"/>
    <col min="7427" max="7427" width="20.5703125" style="3" customWidth="1"/>
    <col min="7428" max="7428" width="13.5703125" style="3" customWidth="1"/>
    <col min="7429" max="7429" width="12.140625" style="3" customWidth="1"/>
    <col min="7430" max="7430" width="8.5703125" style="3" customWidth="1"/>
    <col min="7431" max="7431" width="12.42578125" style="3" customWidth="1"/>
    <col min="7432" max="7432" width="12.42578125" style="3" bestFit="1" customWidth="1"/>
    <col min="7433" max="7433" width="12.140625" style="3" customWidth="1"/>
    <col min="7434" max="7434" width="8.5703125" style="3" customWidth="1"/>
    <col min="7435" max="7435" width="12.42578125" style="3" customWidth="1"/>
    <col min="7436" max="7436" width="12.42578125" style="3" bestFit="1" customWidth="1"/>
    <col min="7437" max="7437" width="12.140625" style="3" customWidth="1"/>
    <col min="7438" max="7438" width="8.5703125" style="3" customWidth="1"/>
    <col min="7439" max="7439" width="12.42578125" style="3" customWidth="1"/>
    <col min="7440" max="7440" width="12.42578125" style="3" bestFit="1" customWidth="1"/>
    <col min="7441" max="7441" width="12.140625" style="3" customWidth="1"/>
    <col min="7442" max="7442" width="8.5703125" style="3" customWidth="1"/>
    <col min="7443" max="7443" width="12.42578125" style="3" customWidth="1"/>
    <col min="7444" max="7444" width="12.42578125" style="3" bestFit="1" customWidth="1"/>
    <col min="7445" max="7445" width="12.140625" style="3" customWidth="1"/>
    <col min="7446" max="7446" width="8.5703125" style="3" customWidth="1"/>
    <col min="7447" max="7447" width="12.42578125" style="3" customWidth="1"/>
    <col min="7448" max="7448" width="12.42578125" style="3" bestFit="1" customWidth="1"/>
    <col min="7449" max="7449" width="12.140625" style="3" customWidth="1"/>
    <col min="7450" max="7450" width="8.5703125" style="3" customWidth="1"/>
    <col min="7451" max="7451" width="12.42578125" style="3" customWidth="1"/>
    <col min="7452" max="7452" width="12.42578125" style="3" bestFit="1" customWidth="1"/>
    <col min="7453" max="7453" width="12.140625" style="3" customWidth="1"/>
    <col min="7454" max="7454" width="8.5703125" style="3" customWidth="1"/>
    <col min="7455" max="7455" width="12.42578125" style="3" customWidth="1"/>
    <col min="7456" max="7456" width="12.42578125" style="3" bestFit="1" customWidth="1"/>
    <col min="7457" max="7457" width="12.140625" style="3" customWidth="1"/>
    <col min="7458" max="7458" width="8.5703125" style="3" customWidth="1"/>
    <col min="7459" max="7459" width="12.42578125" style="3" customWidth="1"/>
    <col min="7460" max="7460" width="12.42578125" style="3" bestFit="1" customWidth="1"/>
    <col min="7461" max="7461" width="12.140625" style="3" customWidth="1"/>
    <col min="7462" max="7462" width="8.5703125" style="3" customWidth="1"/>
    <col min="7463" max="7463" width="12.42578125" style="3" customWidth="1"/>
    <col min="7464" max="7464" width="12.42578125" style="3" bestFit="1" customWidth="1"/>
    <col min="7465" max="7465" width="12.140625" style="3" customWidth="1"/>
    <col min="7466" max="7466" width="8.5703125" style="3" customWidth="1"/>
    <col min="7467" max="7467" width="12.42578125" style="3" customWidth="1"/>
    <col min="7468" max="7468" width="12.42578125" style="3" bestFit="1" customWidth="1"/>
    <col min="7469" max="7469" width="12.140625" style="3" customWidth="1"/>
    <col min="7470" max="7470" width="8.5703125" style="3" customWidth="1"/>
    <col min="7471" max="7471" width="12.42578125" style="3" customWidth="1"/>
    <col min="7472" max="7472" width="12.42578125" style="3" bestFit="1" customWidth="1"/>
    <col min="7473" max="7473" width="12.140625" style="3" customWidth="1"/>
    <col min="7474" max="7474" width="8.5703125" style="3" customWidth="1"/>
    <col min="7475" max="7475" width="12.42578125" style="3" customWidth="1"/>
    <col min="7476" max="7476" width="14.28515625" style="3" customWidth="1"/>
    <col min="7477" max="7479" width="12.42578125" style="3" customWidth="1"/>
    <col min="7480" max="7480" width="17.85546875" style="3" customWidth="1"/>
    <col min="7481" max="7481" width="17.5703125" style="3" customWidth="1"/>
    <col min="7482" max="7482" width="14.28515625" style="3" customWidth="1"/>
    <col min="7483" max="7483" width="10.28515625" style="3" customWidth="1"/>
    <col min="7484" max="7622" width="8.85546875" style="3" customWidth="1"/>
    <col min="7623" max="7623" width="3.28515625" style="3" customWidth="1"/>
    <col min="7624" max="7624" width="4.7109375" style="3" customWidth="1"/>
    <col min="7625" max="7625" width="16.7109375" style="3" customWidth="1"/>
    <col min="7626" max="7657" width="8.85546875" style="3" customWidth="1"/>
    <col min="7658" max="7658" width="12" style="3" customWidth="1"/>
    <col min="7659" max="7660" width="8.85546875" style="3" customWidth="1"/>
    <col min="7661" max="7661" width="10.42578125" style="3" customWidth="1"/>
    <col min="7662" max="7662" width="12.85546875" style="3" customWidth="1"/>
    <col min="7663" max="7663" width="9.28515625" style="3" bestFit="1" customWidth="1"/>
    <col min="7664" max="7664" width="8.85546875" style="3" customWidth="1"/>
    <col min="7665" max="7665" width="11.7109375" style="3" customWidth="1"/>
    <col min="7666" max="7666" width="12.140625" style="3" customWidth="1"/>
    <col min="7667" max="7667" width="9.28515625" style="3" bestFit="1" customWidth="1"/>
    <col min="7668" max="7668" width="8.85546875" style="3" customWidth="1"/>
    <col min="7669" max="7670" width="11.7109375" style="3" customWidth="1"/>
    <col min="7671" max="7671" width="9.28515625" style="3" bestFit="1" customWidth="1"/>
    <col min="7672" max="7672" width="8.85546875" style="3" customWidth="1"/>
    <col min="7673" max="7673" width="11.85546875" style="3" bestFit="1" customWidth="1"/>
    <col min="7674" max="7675" width="8.85546875" style="3" customWidth="1"/>
    <col min="7676" max="7676" width="12.28515625" style="3" bestFit="1" customWidth="1"/>
    <col min="7677" max="7677" width="10.85546875" style="3" customWidth="1"/>
    <col min="7678" max="7678" width="9.7109375" style="3" customWidth="1"/>
    <col min="7679" max="7679" width="13.28515625" style="3" customWidth="1"/>
    <col min="7680" max="7680" width="9.5703125" style="3"/>
    <col min="7681" max="7681" width="3.28515625" style="3" customWidth="1"/>
    <col min="7682" max="7682" width="11.28515625" style="3" bestFit="1" customWidth="1"/>
    <col min="7683" max="7683" width="20.5703125" style="3" customWidth="1"/>
    <col min="7684" max="7684" width="13.5703125" style="3" customWidth="1"/>
    <col min="7685" max="7685" width="12.140625" style="3" customWidth="1"/>
    <col min="7686" max="7686" width="8.5703125" style="3" customWidth="1"/>
    <col min="7687" max="7687" width="12.42578125" style="3" customWidth="1"/>
    <col min="7688" max="7688" width="12.42578125" style="3" bestFit="1" customWidth="1"/>
    <col min="7689" max="7689" width="12.140625" style="3" customWidth="1"/>
    <col min="7690" max="7690" width="8.5703125" style="3" customWidth="1"/>
    <col min="7691" max="7691" width="12.42578125" style="3" customWidth="1"/>
    <col min="7692" max="7692" width="12.42578125" style="3" bestFit="1" customWidth="1"/>
    <col min="7693" max="7693" width="12.140625" style="3" customWidth="1"/>
    <col min="7694" max="7694" width="8.5703125" style="3" customWidth="1"/>
    <col min="7695" max="7695" width="12.42578125" style="3" customWidth="1"/>
    <col min="7696" max="7696" width="12.42578125" style="3" bestFit="1" customWidth="1"/>
    <col min="7697" max="7697" width="12.140625" style="3" customWidth="1"/>
    <col min="7698" max="7698" width="8.5703125" style="3" customWidth="1"/>
    <col min="7699" max="7699" width="12.42578125" style="3" customWidth="1"/>
    <col min="7700" max="7700" width="12.42578125" style="3" bestFit="1" customWidth="1"/>
    <col min="7701" max="7701" width="12.140625" style="3" customWidth="1"/>
    <col min="7702" max="7702" width="8.5703125" style="3" customWidth="1"/>
    <col min="7703" max="7703" width="12.42578125" style="3" customWidth="1"/>
    <col min="7704" max="7704" width="12.42578125" style="3" bestFit="1" customWidth="1"/>
    <col min="7705" max="7705" width="12.140625" style="3" customWidth="1"/>
    <col min="7706" max="7706" width="8.5703125" style="3" customWidth="1"/>
    <col min="7707" max="7707" width="12.42578125" style="3" customWidth="1"/>
    <col min="7708" max="7708" width="12.42578125" style="3" bestFit="1" customWidth="1"/>
    <col min="7709" max="7709" width="12.140625" style="3" customWidth="1"/>
    <col min="7710" max="7710" width="8.5703125" style="3" customWidth="1"/>
    <col min="7711" max="7711" width="12.42578125" style="3" customWidth="1"/>
    <col min="7712" max="7712" width="12.42578125" style="3" bestFit="1" customWidth="1"/>
    <col min="7713" max="7713" width="12.140625" style="3" customWidth="1"/>
    <col min="7714" max="7714" width="8.5703125" style="3" customWidth="1"/>
    <col min="7715" max="7715" width="12.42578125" style="3" customWidth="1"/>
    <col min="7716" max="7716" width="12.42578125" style="3" bestFit="1" customWidth="1"/>
    <col min="7717" max="7717" width="12.140625" style="3" customWidth="1"/>
    <col min="7718" max="7718" width="8.5703125" style="3" customWidth="1"/>
    <col min="7719" max="7719" width="12.42578125" style="3" customWidth="1"/>
    <col min="7720" max="7720" width="12.42578125" style="3" bestFit="1" customWidth="1"/>
    <col min="7721" max="7721" width="12.140625" style="3" customWidth="1"/>
    <col min="7722" max="7722" width="8.5703125" style="3" customWidth="1"/>
    <col min="7723" max="7723" width="12.42578125" style="3" customWidth="1"/>
    <col min="7724" max="7724" width="12.42578125" style="3" bestFit="1" customWidth="1"/>
    <col min="7725" max="7725" width="12.140625" style="3" customWidth="1"/>
    <col min="7726" max="7726" width="8.5703125" style="3" customWidth="1"/>
    <col min="7727" max="7727" width="12.42578125" style="3" customWidth="1"/>
    <col min="7728" max="7728" width="12.42578125" style="3" bestFit="1" customWidth="1"/>
    <col min="7729" max="7729" width="12.140625" style="3" customWidth="1"/>
    <col min="7730" max="7730" width="8.5703125" style="3" customWidth="1"/>
    <col min="7731" max="7731" width="12.42578125" style="3" customWidth="1"/>
    <col min="7732" max="7732" width="14.28515625" style="3" customWidth="1"/>
    <col min="7733" max="7735" width="12.42578125" style="3" customWidth="1"/>
    <col min="7736" max="7736" width="17.85546875" style="3" customWidth="1"/>
    <col min="7737" max="7737" width="17.5703125" style="3" customWidth="1"/>
    <col min="7738" max="7738" width="14.28515625" style="3" customWidth="1"/>
    <col min="7739" max="7739" width="10.28515625" style="3" customWidth="1"/>
    <col min="7740" max="7878" width="8.85546875" style="3" customWidth="1"/>
    <col min="7879" max="7879" width="3.28515625" style="3" customWidth="1"/>
    <col min="7880" max="7880" width="4.7109375" style="3" customWidth="1"/>
    <col min="7881" max="7881" width="16.7109375" style="3" customWidth="1"/>
    <col min="7882" max="7913" width="8.85546875" style="3" customWidth="1"/>
    <col min="7914" max="7914" width="12" style="3" customWidth="1"/>
    <col min="7915" max="7916" width="8.85546875" style="3" customWidth="1"/>
    <col min="7917" max="7917" width="10.42578125" style="3" customWidth="1"/>
    <col min="7918" max="7918" width="12.85546875" style="3" customWidth="1"/>
    <col min="7919" max="7919" width="9.28515625" style="3" bestFit="1" customWidth="1"/>
    <col min="7920" max="7920" width="8.85546875" style="3" customWidth="1"/>
    <col min="7921" max="7921" width="11.7109375" style="3" customWidth="1"/>
    <col min="7922" max="7922" width="12.140625" style="3" customWidth="1"/>
    <col min="7923" max="7923" width="9.28515625" style="3" bestFit="1" customWidth="1"/>
    <col min="7924" max="7924" width="8.85546875" style="3" customWidth="1"/>
    <col min="7925" max="7926" width="11.7109375" style="3" customWidth="1"/>
    <col min="7927" max="7927" width="9.28515625" style="3" bestFit="1" customWidth="1"/>
    <col min="7928" max="7928" width="8.85546875" style="3" customWidth="1"/>
    <col min="7929" max="7929" width="11.85546875" style="3" bestFit="1" customWidth="1"/>
    <col min="7930" max="7931" width="8.85546875" style="3" customWidth="1"/>
    <col min="7932" max="7932" width="12.28515625" style="3" bestFit="1" customWidth="1"/>
    <col min="7933" max="7933" width="10.85546875" style="3" customWidth="1"/>
    <col min="7934" max="7934" width="9.7109375" style="3" customWidth="1"/>
    <col min="7935" max="7935" width="13.28515625" style="3" customWidth="1"/>
    <col min="7936" max="7936" width="9.5703125" style="3"/>
    <col min="7937" max="7937" width="3.28515625" style="3" customWidth="1"/>
    <col min="7938" max="7938" width="11.28515625" style="3" bestFit="1" customWidth="1"/>
    <col min="7939" max="7939" width="20.5703125" style="3" customWidth="1"/>
    <col min="7940" max="7940" width="13.5703125" style="3" customWidth="1"/>
    <col min="7941" max="7941" width="12.140625" style="3" customWidth="1"/>
    <col min="7942" max="7942" width="8.5703125" style="3" customWidth="1"/>
    <col min="7943" max="7943" width="12.42578125" style="3" customWidth="1"/>
    <col min="7944" max="7944" width="12.42578125" style="3" bestFit="1" customWidth="1"/>
    <col min="7945" max="7945" width="12.140625" style="3" customWidth="1"/>
    <col min="7946" max="7946" width="8.5703125" style="3" customWidth="1"/>
    <col min="7947" max="7947" width="12.42578125" style="3" customWidth="1"/>
    <col min="7948" max="7948" width="12.42578125" style="3" bestFit="1" customWidth="1"/>
    <col min="7949" max="7949" width="12.140625" style="3" customWidth="1"/>
    <col min="7950" max="7950" width="8.5703125" style="3" customWidth="1"/>
    <col min="7951" max="7951" width="12.42578125" style="3" customWidth="1"/>
    <col min="7952" max="7952" width="12.42578125" style="3" bestFit="1" customWidth="1"/>
    <col min="7953" max="7953" width="12.140625" style="3" customWidth="1"/>
    <col min="7954" max="7954" width="8.5703125" style="3" customWidth="1"/>
    <col min="7955" max="7955" width="12.42578125" style="3" customWidth="1"/>
    <col min="7956" max="7956" width="12.42578125" style="3" bestFit="1" customWidth="1"/>
    <col min="7957" max="7957" width="12.140625" style="3" customWidth="1"/>
    <col min="7958" max="7958" width="8.5703125" style="3" customWidth="1"/>
    <col min="7959" max="7959" width="12.42578125" style="3" customWidth="1"/>
    <col min="7960" max="7960" width="12.42578125" style="3" bestFit="1" customWidth="1"/>
    <col min="7961" max="7961" width="12.140625" style="3" customWidth="1"/>
    <col min="7962" max="7962" width="8.5703125" style="3" customWidth="1"/>
    <col min="7963" max="7963" width="12.42578125" style="3" customWidth="1"/>
    <col min="7964" max="7964" width="12.42578125" style="3" bestFit="1" customWidth="1"/>
    <col min="7965" max="7965" width="12.140625" style="3" customWidth="1"/>
    <col min="7966" max="7966" width="8.5703125" style="3" customWidth="1"/>
    <col min="7967" max="7967" width="12.42578125" style="3" customWidth="1"/>
    <col min="7968" max="7968" width="12.42578125" style="3" bestFit="1" customWidth="1"/>
    <col min="7969" max="7969" width="12.140625" style="3" customWidth="1"/>
    <col min="7970" max="7970" width="8.5703125" style="3" customWidth="1"/>
    <col min="7971" max="7971" width="12.42578125" style="3" customWidth="1"/>
    <col min="7972" max="7972" width="12.42578125" style="3" bestFit="1" customWidth="1"/>
    <col min="7973" max="7973" width="12.140625" style="3" customWidth="1"/>
    <col min="7974" max="7974" width="8.5703125" style="3" customWidth="1"/>
    <col min="7975" max="7975" width="12.42578125" style="3" customWidth="1"/>
    <col min="7976" max="7976" width="12.42578125" style="3" bestFit="1" customWidth="1"/>
    <col min="7977" max="7977" width="12.140625" style="3" customWidth="1"/>
    <col min="7978" max="7978" width="8.5703125" style="3" customWidth="1"/>
    <col min="7979" max="7979" width="12.42578125" style="3" customWidth="1"/>
    <col min="7980" max="7980" width="12.42578125" style="3" bestFit="1" customWidth="1"/>
    <col min="7981" max="7981" width="12.140625" style="3" customWidth="1"/>
    <col min="7982" max="7982" width="8.5703125" style="3" customWidth="1"/>
    <col min="7983" max="7983" width="12.42578125" style="3" customWidth="1"/>
    <col min="7984" max="7984" width="12.42578125" style="3" bestFit="1" customWidth="1"/>
    <col min="7985" max="7985" width="12.140625" style="3" customWidth="1"/>
    <col min="7986" max="7986" width="8.5703125" style="3" customWidth="1"/>
    <col min="7987" max="7987" width="12.42578125" style="3" customWidth="1"/>
    <col min="7988" max="7988" width="14.28515625" style="3" customWidth="1"/>
    <col min="7989" max="7991" width="12.42578125" style="3" customWidth="1"/>
    <col min="7992" max="7992" width="17.85546875" style="3" customWidth="1"/>
    <col min="7993" max="7993" width="17.5703125" style="3" customWidth="1"/>
    <col min="7994" max="7994" width="14.28515625" style="3" customWidth="1"/>
    <col min="7995" max="7995" width="10.28515625" style="3" customWidth="1"/>
    <col min="7996" max="8134" width="8.85546875" style="3" customWidth="1"/>
    <col min="8135" max="8135" width="3.28515625" style="3" customWidth="1"/>
    <col min="8136" max="8136" width="4.7109375" style="3" customWidth="1"/>
    <col min="8137" max="8137" width="16.7109375" style="3" customWidth="1"/>
    <col min="8138" max="8169" width="8.85546875" style="3" customWidth="1"/>
    <col min="8170" max="8170" width="12" style="3" customWidth="1"/>
    <col min="8171" max="8172" width="8.85546875" style="3" customWidth="1"/>
    <col min="8173" max="8173" width="10.42578125" style="3" customWidth="1"/>
    <col min="8174" max="8174" width="12.85546875" style="3" customWidth="1"/>
    <col min="8175" max="8175" width="9.28515625" style="3" bestFit="1" customWidth="1"/>
    <col min="8176" max="8176" width="8.85546875" style="3" customWidth="1"/>
    <col min="8177" max="8177" width="11.7109375" style="3" customWidth="1"/>
    <col min="8178" max="8178" width="12.140625" style="3" customWidth="1"/>
    <col min="8179" max="8179" width="9.28515625" style="3" bestFit="1" customWidth="1"/>
    <col min="8180" max="8180" width="8.85546875" style="3" customWidth="1"/>
    <col min="8181" max="8182" width="11.7109375" style="3" customWidth="1"/>
    <col min="8183" max="8183" width="9.28515625" style="3" bestFit="1" customWidth="1"/>
    <col min="8184" max="8184" width="8.85546875" style="3" customWidth="1"/>
    <col min="8185" max="8185" width="11.85546875" style="3" bestFit="1" customWidth="1"/>
    <col min="8186" max="8187" width="8.85546875" style="3" customWidth="1"/>
    <col min="8188" max="8188" width="12.28515625" style="3" bestFit="1" customWidth="1"/>
    <col min="8189" max="8189" width="10.85546875" style="3" customWidth="1"/>
    <col min="8190" max="8190" width="9.7109375" style="3" customWidth="1"/>
    <col min="8191" max="8191" width="13.28515625" style="3" customWidth="1"/>
    <col min="8192" max="8192" width="9.5703125" style="3"/>
    <col min="8193" max="8193" width="3.28515625" style="3" customWidth="1"/>
    <col min="8194" max="8194" width="11.28515625" style="3" bestFit="1" customWidth="1"/>
    <col min="8195" max="8195" width="20.5703125" style="3" customWidth="1"/>
    <col min="8196" max="8196" width="13.5703125" style="3" customWidth="1"/>
    <col min="8197" max="8197" width="12.140625" style="3" customWidth="1"/>
    <col min="8198" max="8198" width="8.5703125" style="3" customWidth="1"/>
    <col min="8199" max="8199" width="12.42578125" style="3" customWidth="1"/>
    <col min="8200" max="8200" width="12.42578125" style="3" bestFit="1" customWidth="1"/>
    <col min="8201" max="8201" width="12.140625" style="3" customWidth="1"/>
    <col min="8202" max="8202" width="8.5703125" style="3" customWidth="1"/>
    <col min="8203" max="8203" width="12.42578125" style="3" customWidth="1"/>
    <col min="8204" max="8204" width="12.42578125" style="3" bestFit="1" customWidth="1"/>
    <col min="8205" max="8205" width="12.140625" style="3" customWidth="1"/>
    <col min="8206" max="8206" width="8.5703125" style="3" customWidth="1"/>
    <col min="8207" max="8207" width="12.42578125" style="3" customWidth="1"/>
    <col min="8208" max="8208" width="12.42578125" style="3" bestFit="1" customWidth="1"/>
    <col min="8209" max="8209" width="12.140625" style="3" customWidth="1"/>
    <col min="8210" max="8210" width="8.5703125" style="3" customWidth="1"/>
    <col min="8211" max="8211" width="12.42578125" style="3" customWidth="1"/>
    <col min="8212" max="8212" width="12.42578125" style="3" bestFit="1" customWidth="1"/>
    <col min="8213" max="8213" width="12.140625" style="3" customWidth="1"/>
    <col min="8214" max="8214" width="8.5703125" style="3" customWidth="1"/>
    <col min="8215" max="8215" width="12.42578125" style="3" customWidth="1"/>
    <col min="8216" max="8216" width="12.42578125" style="3" bestFit="1" customWidth="1"/>
    <col min="8217" max="8217" width="12.140625" style="3" customWidth="1"/>
    <col min="8218" max="8218" width="8.5703125" style="3" customWidth="1"/>
    <col min="8219" max="8219" width="12.42578125" style="3" customWidth="1"/>
    <col min="8220" max="8220" width="12.42578125" style="3" bestFit="1" customWidth="1"/>
    <col min="8221" max="8221" width="12.140625" style="3" customWidth="1"/>
    <col min="8222" max="8222" width="8.5703125" style="3" customWidth="1"/>
    <col min="8223" max="8223" width="12.42578125" style="3" customWidth="1"/>
    <col min="8224" max="8224" width="12.42578125" style="3" bestFit="1" customWidth="1"/>
    <col min="8225" max="8225" width="12.140625" style="3" customWidth="1"/>
    <col min="8226" max="8226" width="8.5703125" style="3" customWidth="1"/>
    <col min="8227" max="8227" width="12.42578125" style="3" customWidth="1"/>
    <col min="8228" max="8228" width="12.42578125" style="3" bestFit="1" customWidth="1"/>
    <col min="8229" max="8229" width="12.140625" style="3" customWidth="1"/>
    <col min="8230" max="8230" width="8.5703125" style="3" customWidth="1"/>
    <col min="8231" max="8231" width="12.42578125" style="3" customWidth="1"/>
    <col min="8232" max="8232" width="12.42578125" style="3" bestFit="1" customWidth="1"/>
    <col min="8233" max="8233" width="12.140625" style="3" customWidth="1"/>
    <col min="8234" max="8234" width="8.5703125" style="3" customWidth="1"/>
    <col min="8235" max="8235" width="12.42578125" style="3" customWidth="1"/>
    <col min="8236" max="8236" width="12.42578125" style="3" bestFit="1" customWidth="1"/>
    <col min="8237" max="8237" width="12.140625" style="3" customWidth="1"/>
    <col min="8238" max="8238" width="8.5703125" style="3" customWidth="1"/>
    <col min="8239" max="8239" width="12.42578125" style="3" customWidth="1"/>
    <col min="8240" max="8240" width="12.42578125" style="3" bestFit="1" customWidth="1"/>
    <col min="8241" max="8241" width="12.140625" style="3" customWidth="1"/>
    <col min="8242" max="8242" width="8.5703125" style="3" customWidth="1"/>
    <col min="8243" max="8243" width="12.42578125" style="3" customWidth="1"/>
    <col min="8244" max="8244" width="14.28515625" style="3" customWidth="1"/>
    <col min="8245" max="8247" width="12.42578125" style="3" customWidth="1"/>
    <col min="8248" max="8248" width="17.85546875" style="3" customWidth="1"/>
    <col min="8249" max="8249" width="17.5703125" style="3" customWidth="1"/>
    <col min="8250" max="8250" width="14.28515625" style="3" customWidth="1"/>
    <col min="8251" max="8251" width="10.28515625" style="3" customWidth="1"/>
    <col min="8252" max="8390" width="8.85546875" style="3" customWidth="1"/>
    <col min="8391" max="8391" width="3.28515625" style="3" customWidth="1"/>
    <col min="8392" max="8392" width="4.7109375" style="3" customWidth="1"/>
    <col min="8393" max="8393" width="16.7109375" style="3" customWidth="1"/>
    <col min="8394" max="8425" width="8.85546875" style="3" customWidth="1"/>
    <col min="8426" max="8426" width="12" style="3" customWidth="1"/>
    <col min="8427" max="8428" width="8.85546875" style="3" customWidth="1"/>
    <col min="8429" max="8429" width="10.42578125" style="3" customWidth="1"/>
    <col min="8430" max="8430" width="12.85546875" style="3" customWidth="1"/>
    <col min="8431" max="8431" width="9.28515625" style="3" bestFit="1" customWidth="1"/>
    <col min="8432" max="8432" width="8.85546875" style="3" customWidth="1"/>
    <col min="8433" max="8433" width="11.7109375" style="3" customWidth="1"/>
    <col min="8434" max="8434" width="12.140625" style="3" customWidth="1"/>
    <col min="8435" max="8435" width="9.28515625" style="3" bestFit="1" customWidth="1"/>
    <col min="8436" max="8436" width="8.85546875" style="3" customWidth="1"/>
    <col min="8437" max="8438" width="11.7109375" style="3" customWidth="1"/>
    <col min="8439" max="8439" width="9.28515625" style="3" bestFit="1" customWidth="1"/>
    <col min="8440" max="8440" width="8.85546875" style="3" customWidth="1"/>
    <col min="8441" max="8441" width="11.85546875" style="3" bestFit="1" customWidth="1"/>
    <col min="8442" max="8443" width="8.85546875" style="3" customWidth="1"/>
    <col min="8444" max="8444" width="12.28515625" style="3" bestFit="1" customWidth="1"/>
    <col min="8445" max="8445" width="10.85546875" style="3" customWidth="1"/>
    <col min="8446" max="8446" width="9.7109375" style="3" customWidth="1"/>
    <col min="8447" max="8447" width="13.28515625" style="3" customWidth="1"/>
    <col min="8448" max="8448" width="9.5703125" style="3"/>
    <col min="8449" max="8449" width="3.28515625" style="3" customWidth="1"/>
    <col min="8450" max="8450" width="11.28515625" style="3" bestFit="1" customWidth="1"/>
    <col min="8451" max="8451" width="20.5703125" style="3" customWidth="1"/>
    <col min="8452" max="8452" width="13.5703125" style="3" customWidth="1"/>
    <col min="8453" max="8453" width="12.140625" style="3" customWidth="1"/>
    <col min="8454" max="8454" width="8.5703125" style="3" customWidth="1"/>
    <col min="8455" max="8455" width="12.42578125" style="3" customWidth="1"/>
    <col min="8456" max="8456" width="12.42578125" style="3" bestFit="1" customWidth="1"/>
    <col min="8457" max="8457" width="12.140625" style="3" customWidth="1"/>
    <col min="8458" max="8458" width="8.5703125" style="3" customWidth="1"/>
    <col min="8459" max="8459" width="12.42578125" style="3" customWidth="1"/>
    <col min="8460" max="8460" width="12.42578125" style="3" bestFit="1" customWidth="1"/>
    <col min="8461" max="8461" width="12.140625" style="3" customWidth="1"/>
    <col min="8462" max="8462" width="8.5703125" style="3" customWidth="1"/>
    <col min="8463" max="8463" width="12.42578125" style="3" customWidth="1"/>
    <col min="8464" max="8464" width="12.42578125" style="3" bestFit="1" customWidth="1"/>
    <col min="8465" max="8465" width="12.140625" style="3" customWidth="1"/>
    <col min="8466" max="8466" width="8.5703125" style="3" customWidth="1"/>
    <col min="8467" max="8467" width="12.42578125" style="3" customWidth="1"/>
    <col min="8468" max="8468" width="12.42578125" style="3" bestFit="1" customWidth="1"/>
    <col min="8469" max="8469" width="12.140625" style="3" customWidth="1"/>
    <col min="8470" max="8470" width="8.5703125" style="3" customWidth="1"/>
    <col min="8471" max="8471" width="12.42578125" style="3" customWidth="1"/>
    <col min="8472" max="8472" width="12.42578125" style="3" bestFit="1" customWidth="1"/>
    <col min="8473" max="8473" width="12.140625" style="3" customWidth="1"/>
    <col min="8474" max="8474" width="8.5703125" style="3" customWidth="1"/>
    <col min="8475" max="8475" width="12.42578125" style="3" customWidth="1"/>
    <col min="8476" max="8476" width="12.42578125" style="3" bestFit="1" customWidth="1"/>
    <col min="8477" max="8477" width="12.140625" style="3" customWidth="1"/>
    <col min="8478" max="8478" width="8.5703125" style="3" customWidth="1"/>
    <col min="8479" max="8479" width="12.42578125" style="3" customWidth="1"/>
    <col min="8480" max="8480" width="12.42578125" style="3" bestFit="1" customWidth="1"/>
    <col min="8481" max="8481" width="12.140625" style="3" customWidth="1"/>
    <col min="8482" max="8482" width="8.5703125" style="3" customWidth="1"/>
    <col min="8483" max="8483" width="12.42578125" style="3" customWidth="1"/>
    <col min="8484" max="8484" width="12.42578125" style="3" bestFit="1" customWidth="1"/>
    <col min="8485" max="8485" width="12.140625" style="3" customWidth="1"/>
    <col min="8486" max="8486" width="8.5703125" style="3" customWidth="1"/>
    <col min="8487" max="8487" width="12.42578125" style="3" customWidth="1"/>
    <col min="8488" max="8488" width="12.42578125" style="3" bestFit="1" customWidth="1"/>
    <col min="8489" max="8489" width="12.140625" style="3" customWidth="1"/>
    <col min="8490" max="8490" width="8.5703125" style="3" customWidth="1"/>
    <col min="8491" max="8491" width="12.42578125" style="3" customWidth="1"/>
    <col min="8492" max="8492" width="12.42578125" style="3" bestFit="1" customWidth="1"/>
    <col min="8493" max="8493" width="12.140625" style="3" customWidth="1"/>
    <col min="8494" max="8494" width="8.5703125" style="3" customWidth="1"/>
    <col min="8495" max="8495" width="12.42578125" style="3" customWidth="1"/>
    <col min="8496" max="8496" width="12.42578125" style="3" bestFit="1" customWidth="1"/>
    <col min="8497" max="8497" width="12.140625" style="3" customWidth="1"/>
    <col min="8498" max="8498" width="8.5703125" style="3" customWidth="1"/>
    <col min="8499" max="8499" width="12.42578125" style="3" customWidth="1"/>
    <col min="8500" max="8500" width="14.28515625" style="3" customWidth="1"/>
    <col min="8501" max="8503" width="12.42578125" style="3" customWidth="1"/>
    <col min="8504" max="8504" width="17.85546875" style="3" customWidth="1"/>
    <col min="8505" max="8505" width="17.5703125" style="3" customWidth="1"/>
    <col min="8506" max="8506" width="14.28515625" style="3" customWidth="1"/>
    <col min="8507" max="8507" width="10.28515625" style="3" customWidth="1"/>
    <col min="8508" max="8646" width="8.85546875" style="3" customWidth="1"/>
    <col min="8647" max="8647" width="3.28515625" style="3" customWidth="1"/>
    <col min="8648" max="8648" width="4.7109375" style="3" customWidth="1"/>
    <col min="8649" max="8649" width="16.7109375" style="3" customWidth="1"/>
    <col min="8650" max="8681" width="8.85546875" style="3" customWidth="1"/>
    <col min="8682" max="8682" width="12" style="3" customWidth="1"/>
    <col min="8683" max="8684" width="8.85546875" style="3" customWidth="1"/>
    <col min="8685" max="8685" width="10.42578125" style="3" customWidth="1"/>
    <col min="8686" max="8686" width="12.85546875" style="3" customWidth="1"/>
    <col min="8687" max="8687" width="9.28515625" style="3" bestFit="1" customWidth="1"/>
    <col min="8688" max="8688" width="8.85546875" style="3" customWidth="1"/>
    <col min="8689" max="8689" width="11.7109375" style="3" customWidth="1"/>
    <col min="8690" max="8690" width="12.140625" style="3" customWidth="1"/>
    <col min="8691" max="8691" width="9.28515625" style="3" bestFit="1" customWidth="1"/>
    <col min="8692" max="8692" width="8.85546875" style="3" customWidth="1"/>
    <col min="8693" max="8694" width="11.7109375" style="3" customWidth="1"/>
    <col min="8695" max="8695" width="9.28515625" style="3" bestFit="1" customWidth="1"/>
    <col min="8696" max="8696" width="8.85546875" style="3" customWidth="1"/>
    <col min="8697" max="8697" width="11.85546875" style="3" bestFit="1" customWidth="1"/>
    <col min="8698" max="8699" width="8.85546875" style="3" customWidth="1"/>
    <col min="8700" max="8700" width="12.28515625" style="3" bestFit="1" customWidth="1"/>
    <col min="8701" max="8701" width="10.85546875" style="3" customWidth="1"/>
    <col min="8702" max="8702" width="9.7109375" style="3" customWidth="1"/>
    <col min="8703" max="8703" width="13.28515625" style="3" customWidth="1"/>
    <col min="8704" max="8704" width="9.5703125" style="3"/>
    <col min="8705" max="8705" width="3.28515625" style="3" customWidth="1"/>
    <col min="8706" max="8706" width="11.28515625" style="3" bestFit="1" customWidth="1"/>
    <col min="8707" max="8707" width="20.5703125" style="3" customWidth="1"/>
    <col min="8708" max="8708" width="13.5703125" style="3" customWidth="1"/>
    <col min="8709" max="8709" width="12.140625" style="3" customWidth="1"/>
    <col min="8710" max="8710" width="8.5703125" style="3" customWidth="1"/>
    <col min="8711" max="8711" width="12.42578125" style="3" customWidth="1"/>
    <col min="8712" max="8712" width="12.42578125" style="3" bestFit="1" customWidth="1"/>
    <col min="8713" max="8713" width="12.140625" style="3" customWidth="1"/>
    <col min="8714" max="8714" width="8.5703125" style="3" customWidth="1"/>
    <col min="8715" max="8715" width="12.42578125" style="3" customWidth="1"/>
    <col min="8716" max="8716" width="12.42578125" style="3" bestFit="1" customWidth="1"/>
    <col min="8717" max="8717" width="12.140625" style="3" customWidth="1"/>
    <col min="8718" max="8718" width="8.5703125" style="3" customWidth="1"/>
    <col min="8719" max="8719" width="12.42578125" style="3" customWidth="1"/>
    <col min="8720" max="8720" width="12.42578125" style="3" bestFit="1" customWidth="1"/>
    <col min="8721" max="8721" width="12.140625" style="3" customWidth="1"/>
    <col min="8722" max="8722" width="8.5703125" style="3" customWidth="1"/>
    <col min="8723" max="8723" width="12.42578125" style="3" customWidth="1"/>
    <col min="8724" max="8724" width="12.42578125" style="3" bestFit="1" customWidth="1"/>
    <col min="8725" max="8725" width="12.140625" style="3" customWidth="1"/>
    <col min="8726" max="8726" width="8.5703125" style="3" customWidth="1"/>
    <col min="8727" max="8727" width="12.42578125" style="3" customWidth="1"/>
    <col min="8728" max="8728" width="12.42578125" style="3" bestFit="1" customWidth="1"/>
    <col min="8729" max="8729" width="12.140625" style="3" customWidth="1"/>
    <col min="8730" max="8730" width="8.5703125" style="3" customWidth="1"/>
    <col min="8731" max="8731" width="12.42578125" style="3" customWidth="1"/>
    <col min="8732" max="8732" width="12.42578125" style="3" bestFit="1" customWidth="1"/>
    <col min="8733" max="8733" width="12.140625" style="3" customWidth="1"/>
    <col min="8734" max="8734" width="8.5703125" style="3" customWidth="1"/>
    <col min="8735" max="8735" width="12.42578125" style="3" customWidth="1"/>
    <col min="8736" max="8736" width="12.42578125" style="3" bestFit="1" customWidth="1"/>
    <col min="8737" max="8737" width="12.140625" style="3" customWidth="1"/>
    <col min="8738" max="8738" width="8.5703125" style="3" customWidth="1"/>
    <col min="8739" max="8739" width="12.42578125" style="3" customWidth="1"/>
    <col min="8740" max="8740" width="12.42578125" style="3" bestFit="1" customWidth="1"/>
    <col min="8741" max="8741" width="12.140625" style="3" customWidth="1"/>
    <col min="8742" max="8742" width="8.5703125" style="3" customWidth="1"/>
    <col min="8743" max="8743" width="12.42578125" style="3" customWidth="1"/>
    <col min="8744" max="8744" width="12.42578125" style="3" bestFit="1" customWidth="1"/>
    <col min="8745" max="8745" width="12.140625" style="3" customWidth="1"/>
    <col min="8746" max="8746" width="8.5703125" style="3" customWidth="1"/>
    <col min="8747" max="8747" width="12.42578125" style="3" customWidth="1"/>
    <col min="8748" max="8748" width="12.42578125" style="3" bestFit="1" customWidth="1"/>
    <col min="8749" max="8749" width="12.140625" style="3" customWidth="1"/>
    <col min="8750" max="8750" width="8.5703125" style="3" customWidth="1"/>
    <col min="8751" max="8751" width="12.42578125" style="3" customWidth="1"/>
    <col min="8752" max="8752" width="12.42578125" style="3" bestFit="1" customWidth="1"/>
    <col min="8753" max="8753" width="12.140625" style="3" customWidth="1"/>
    <col min="8754" max="8754" width="8.5703125" style="3" customWidth="1"/>
    <col min="8755" max="8755" width="12.42578125" style="3" customWidth="1"/>
    <col min="8756" max="8756" width="14.28515625" style="3" customWidth="1"/>
    <col min="8757" max="8759" width="12.42578125" style="3" customWidth="1"/>
    <col min="8760" max="8760" width="17.85546875" style="3" customWidth="1"/>
    <col min="8761" max="8761" width="17.5703125" style="3" customWidth="1"/>
    <col min="8762" max="8762" width="14.28515625" style="3" customWidth="1"/>
    <col min="8763" max="8763" width="10.28515625" style="3" customWidth="1"/>
    <col min="8764" max="8902" width="8.85546875" style="3" customWidth="1"/>
    <col min="8903" max="8903" width="3.28515625" style="3" customWidth="1"/>
    <col min="8904" max="8904" width="4.7109375" style="3" customWidth="1"/>
    <col min="8905" max="8905" width="16.7109375" style="3" customWidth="1"/>
    <col min="8906" max="8937" width="8.85546875" style="3" customWidth="1"/>
    <col min="8938" max="8938" width="12" style="3" customWidth="1"/>
    <col min="8939" max="8940" width="8.85546875" style="3" customWidth="1"/>
    <col min="8941" max="8941" width="10.42578125" style="3" customWidth="1"/>
    <col min="8942" max="8942" width="12.85546875" style="3" customWidth="1"/>
    <col min="8943" max="8943" width="9.28515625" style="3" bestFit="1" customWidth="1"/>
    <col min="8944" max="8944" width="8.85546875" style="3" customWidth="1"/>
    <col min="8945" max="8945" width="11.7109375" style="3" customWidth="1"/>
    <col min="8946" max="8946" width="12.140625" style="3" customWidth="1"/>
    <col min="8947" max="8947" width="9.28515625" style="3" bestFit="1" customWidth="1"/>
    <col min="8948" max="8948" width="8.85546875" style="3" customWidth="1"/>
    <col min="8949" max="8950" width="11.7109375" style="3" customWidth="1"/>
    <col min="8951" max="8951" width="9.28515625" style="3" bestFit="1" customWidth="1"/>
    <col min="8952" max="8952" width="8.85546875" style="3" customWidth="1"/>
    <col min="8953" max="8953" width="11.85546875" style="3" bestFit="1" customWidth="1"/>
    <col min="8954" max="8955" width="8.85546875" style="3" customWidth="1"/>
    <col min="8956" max="8956" width="12.28515625" style="3" bestFit="1" customWidth="1"/>
    <col min="8957" max="8957" width="10.85546875" style="3" customWidth="1"/>
    <col min="8958" max="8958" width="9.7109375" style="3" customWidth="1"/>
    <col min="8959" max="8959" width="13.28515625" style="3" customWidth="1"/>
    <col min="8960" max="8960" width="9.5703125" style="3"/>
    <col min="8961" max="8961" width="3.28515625" style="3" customWidth="1"/>
    <col min="8962" max="8962" width="11.28515625" style="3" bestFit="1" customWidth="1"/>
    <col min="8963" max="8963" width="20.5703125" style="3" customWidth="1"/>
    <col min="8964" max="8964" width="13.5703125" style="3" customWidth="1"/>
    <col min="8965" max="8965" width="12.140625" style="3" customWidth="1"/>
    <col min="8966" max="8966" width="8.5703125" style="3" customWidth="1"/>
    <col min="8967" max="8967" width="12.42578125" style="3" customWidth="1"/>
    <col min="8968" max="8968" width="12.42578125" style="3" bestFit="1" customWidth="1"/>
    <col min="8969" max="8969" width="12.140625" style="3" customWidth="1"/>
    <col min="8970" max="8970" width="8.5703125" style="3" customWidth="1"/>
    <col min="8971" max="8971" width="12.42578125" style="3" customWidth="1"/>
    <col min="8972" max="8972" width="12.42578125" style="3" bestFit="1" customWidth="1"/>
    <col min="8973" max="8973" width="12.140625" style="3" customWidth="1"/>
    <col min="8974" max="8974" width="8.5703125" style="3" customWidth="1"/>
    <col min="8975" max="8975" width="12.42578125" style="3" customWidth="1"/>
    <col min="8976" max="8976" width="12.42578125" style="3" bestFit="1" customWidth="1"/>
    <col min="8977" max="8977" width="12.140625" style="3" customWidth="1"/>
    <col min="8978" max="8978" width="8.5703125" style="3" customWidth="1"/>
    <col min="8979" max="8979" width="12.42578125" style="3" customWidth="1"/>
    <col min="8980" max="8980" width="12.42578125" style="3" bestFit="1" customWidth="1"/>
    <col min="8981" max="8981" width="12.140625" style="3" customWidth="1"/>
    <col min="8982" max="8982" width="8.5703125" style="3" customWidth="1"/>
    <col min="8983" max="8983" width="12.42578125" style="3" customWidth="1"/>
    <col min="8984" max="8984" width="12.42578125" style="3" bestFit="1" customWidth="1"/>
    <col min="8985" max="8985" width="12.140625" style="3" customWidth="1"/>
    <col min="8986" max="8986" width="8.5703125" style="3" customWidth="1"/>
    <col min="8987" max="8987" width="12.42578125" style="3" customWidth="1"/>
    <col min="8988" max="8988" width="12.42578125" style="3" bestFit="1" customWidth="1"/>
    <col min="8989" max="8989" width="12.140625" style="3" customWidth="1"/>
    <col min="8990" max="8990" width="8.5703125" style="3" customWidth="1"/>
    <col min="8991" max="8991" width="12.42578125" style="3" customWidth="1"/>
    <col min="8992" max="8992" width="12.42578125" style="3" bestFit="1" customWidth="1"/>
    <col min="8993" max="8993" width="12.140625" style="3" customWidth="1"/>
    <col min="8994" max="8994" width="8.5703125" style="3" customWidth="1"/>
    <col min="8995" max="8995" width="12.42578125" style="3" customWidth="1"/>
    <col min="8996" max="8996" width="12.42578125" style="3" bestFit="1" customWidth="1"/>
    <col min="8997" max="8997" width="12.140625" style="3" customWidth="1"/>
    <col min="8998" max="8998" width="8.5703125" style="3" customWidth="1"/>
    <col min="8999" max="8999" width="12.42578125" style="3" customWidth="1"/>
    <col min="9000" max="9000" width="12.42578125" style="3" bestFit="1" customWidth="1"/>
    <col min="9001" max="9001" width="12.140625" style="3" customWidth="1"/>
    <col min="9002" max="9002" width="8.5703125" style="3" customWidth="1"/>
    <col min="9003" max="9003" width="12.42578125" style="3" customWidth="1"/>
    <col min="9004" max="9004" width="12.42578125" style="3" bestFit="1" customWidth="1"/>
    <col min="9005" max="9005" width="12.140625" style="3" customWidth="1"/>
    <col min="9006" max="9006" width="8.5703125" style="3" customWidth="1"/>
    <col min="9007" max="9007" width="12.42578125" style="3" customWidth="1"/>
    <col min="9008" max="9008" width="12.42578125" style="3" bestFit="1" customWidth="1"/>
    <col min="9009" max="9009" width="12.140625" style="3" customWidth="1"/>
    <col min="9010" max="9010" width="8.5703125" style="3" customWidth="1"/>
    <col min="9011" max="9011" width="12.42578125" style="3" customWidth="1"/>
    <col min="9012" max="9012" width="14.28515625" style="3" customWidth="1"/>
    <col min="9013" max="9015" width="12.42578125" style="3" customWidth="1"/>
    <col min="9016" max="9016" width="17.85546875" style="3" customWidth="1"/>
    <col min="9017" max="9017" width="17.5703125" style="3" customWidth="1"/>
    <col min="9018" max="9018" width="14.28515625" style="3" customWidth="1"/>
    <col min="9019" max="9019" width="10.28515625" style="3" customWidth="1"/>
    <col min="9020" max="9158" width="8.85546875" style="3" customWidth="1"/>
    <col min="9159" max="9159" width="3.28515625" style="3" customWidth="1"/>
    <col min="9160" max="9160" width="4.7109375" style="3" customWidth="1"/>
    <col min="9161" max="9161" width="16.7109375" style="3" customWidth="1"/>
    <col min="9162" max="9193" width="8.85546875" style="3" customWidth="1"/>
    <col min="9194" max="9194" width="12" style="3" customWidth="1"/>
    <col min="9195" max="9196" width="8.85546875" style="3" customWidth="1"/>
    <col min="9197" max="9197" width="10.42578125" style="3" customWidth="1"/>
    <col min="9198" max="9198" width="12.85546875" style="3" customWidth="1"/>
    <col min="9199" max="9199" width="9.28515625" style="3" bestFit="1" customWidth="1"/>
    <col min="9200" max="9200" width="8.85546875" style="3" customWidth="1"/>
    <col min="9201" max="9201" width="11.7109375" style="3" customWidth="1"/>
    <col min="9202" max="9202" width="12.140625" style="3" customWidth="1"/>
    <col min="9203" max="9203" width="9.28515625" style="3" bestFit="1" customWidth="1"/>
    <col min="9204" max="9204" width="8.85546875" style="3" customWidth="1"/>
    <col min="9205" max="9206" width="11.7109375" style="3" customWidth="1"/>
    <col min="9207" max="9207" width="9.28515625" style="3" bestFit="1" customWidth="1"/>
    <col min="9208" max="9208" width="8.85546875" style="3" customWidth="1"/>
    <col min="9209" max="9209" width="11.85546875" style="3" bestFit="1" customWidth="1"/>
    <col min="9210" max="9211" width="8.85546875" style="3" customWidth="1"/>
    <col min="9212" max="9212" width="12.28515625" style="3" bestFit="1" customWidth="1"/>
    <col min="9213" max="9213" width="10.85546875" style="3" customWidth="1"/>
    <col min="9214" max="9214" width="9.7109375" style="3" customWidth="1"/>
    <col min="9215" max="9215" width="13.28515625" style="3" customWidth="1"/>
    <col min="9216" max="9216" width="9.5703125" style="3"/>
    <col min="9217" max="9217" width="3.28515625" style="3" customWidth="1"/>
    <col min="9218" max="9218" width="11.28515625" style="3" bestFit="1" customWidth="1"/>
    <col min="9219" max="9219" width="20.5703125" style="3" customWidth="1"/>
    <col min="9220" max="9220" width="13.5703125" style="3" customWidth="1"/>
    <col min="9221" max="9221" width="12.140625" style="3" customWidth="1"/>
    <col min="9222" max="9222" width="8.5703125" style="3" customWidth="1"/>
    <col min="9223" max="9223" width="12.42578125" style="3" customWidth="1"/>
    <col min="9224" max="9224" width="12.42578125" style="3" bestFit="1" customWidth="1"/>
    <col min="9225" max="9225" width="12.140625" style="3" customWidth="1"/>
    <col min="9226" max="9226" width="8.5703125" style="3" customWidth="1"/>
    <col min="9227" max="9227" width="12.42578125" style="3" customWidth="1"/>
    <col min="9228" max="9228" width="12.42578125" style="3" bestFit="1" customWidth="1"/>
    <col min="9229" max="9229" width="12.140625" style="3" customWidth="1"/>
    <col min="9230" max="9230" width="8.5703125" style="3" customWidth="1"/>
    <col min="9231" max="9231" width="12.42578125" style="3" customWidth="1"/>
    <col min="9232" max="9232" width="12.42578125" style="3" bestFit="1" customWidth="1"/>
    <col min="9233" max="9233" width="12.140625" style="3" customWidth="1"/>
    <col min="9234" max="9234" width="8.5703125" style="3" customWidth="1"/>
    <col min="9235" max="9235" width="12.42578125" style="3" customWidth="1"/>
    <col min="9236" max="9236" width="12.42578125" style="3" bestFit="1" customWidth="1"/>
    <col min="9237" max="9237" width="12.140625" style="3" customWidth="1"/>
    <col min="9238" max="9238" width="8.5703125" style="3" customWidth="1"/>
    <col min="9239" max="9239" width="12.42578125" style="3" customWidth="1"/>
    <col min="9240" max="9240" width="12.42578125" style="3" bestFit="1" customWidth="1"/>
    <col min="9241" max="9241" width="12.140625" style="3" customWidth="1"/>
    <col min="9242" max="9242" width="8.5703125" style="3" customWidth="1"/>
    <col min="9243" max="9243" width="12.42578125" style="3" customWidth="1"/>
    <col min="9244" max="9244" width="12.42578125" style="3" bestFit="1" customWidth="1"/>
    <col min="9245" max="9245" width="12.140625" style="3" customWidth="1"/>
    <col min="9246" max="9246" width="8.5703125" style="3" customWidth="1"/>
    <col min="9247" max="9247" width="12.42578125" style="3" customWidth="1"/>
    <col min="9248" max="9248" width="12.42578125" style="3" bestFit="1" customWidth="1"/>
    <col min="9249" max="9249" width="12.140625" style="3" customWidth="1"/>
    <col min="9250" max="9250" width="8.5703125" style="3" customWidth="1"/>
    <col min="9251" max="9251" width="12.42578125" style="3" customWidth="1"/>
    <col min="9252" max="9252" width="12.42578125" style="3" bestFit="1" customWidth="1"/>
    <col min="9253" max="9253" width="12.140625" style="3" customWidth="1"/>
    <col min="9254" max="9254" width="8.5703125" style="3" customWidth="1"/>
    <col min="9255" max="9255" width="12.42578125" style="3" customWidth="1"/>
    <col min="9256" max="9256" width="12.42578125" style="3" bestFit="1" customWidth="1"/>
    <col min="9257" max="9257" width="12.140625" style="3" customWidth="1"/>
    <col min="9258" max="9258" width="8.5703125" style="3" customWidth="1"/>
    <col min="9259" max="9259" width="12.42578125" style="3" customWidth="1"/>
    <col min="9260" max="9260" width="12.42578125" style="3" bestFit="1" customWidth="1"/>
    <col min="9261" max="9261" width="12.140625" style="3" customWidth="1"/>
    <col min="9262" max="9262" width="8.5703125" style="3" customWidth="1"/>
    <col min="9263" max="9263" width="12.42578125" style="3" customWidth="1"/>
    <col min="9264" max="9264" width="12.42578125" style="3" bestFit="1" customWidth="1"/>
    <col min="9265" max="9265" width="12.140625" style="3" customWidth="1"/>
    <col min="9266" max="9266" width="8.5703125" style="3" customWidth="1"/>
    <col min="9267" max="9267" width="12.42578125" style="3" customWidth="1"/>
    <col min="9268" max="9268" width="14.28515625" style="3" customWidth="1"/>
    <col min="9269" max="9271" width="12.42578125" style="3" customWidth="1"/>
    <col min="9272" max="9272" width="17.85546875" style="3" customWidth="1"/>
    <col min="9273" max="9273" width="17.5703125" style="3" customWidth="1"/>
    <col min="9274" max="9274" width="14.28515625" style="3" customWidth="1"/>
    <col min="9275" max="9275" width="10.28515625" style="3" customWidth="1"/>
    <col min="9276" max="9414" width="8.85546875" style="3" customWidth="1"/>
    <col min="9415" max="9415" width="3.28515625" style="3" customWidth="1"/>
    <col min="9416" max="9416" width="4.7109375" style="3" customWidth="1"/>
    <col min="9417" max="9417" width="16.7109375" style="3" customWidth="1"/>
    <col min="9418" max="9449" width="8.85546875" style="3" customWidth="1"/>
    <col min="9450" max="9450" width="12" style="3" customWidth="1"/>
    <col min="9451" max="9452" width="8.85546875" style="3" customWidth="1"/>
    <col min="9453" max="9453" width="10.42578125" style="3" customWidth="1"/>
    <col min="9454" max="9454" width="12.85546875" style="3" customWidth="1"/>
    <col min="9455" max="9455" width="9.28515625" style="3" bestFit="1" customWidth="1"/>
    <col min="9456" max="9456" width="8.85546875" style="3" customWidth="1"/>
    <col min="9457" max="9457" width="11.7109375" style="3" customWidth="1"/>
    <col min="9458" max="9458" width="12.140625" style="3" customWidth="1"/>
    <col min="9459" max="9459" width="9.28515625" style="3" bestFit="1" customWidth="1"/>
    <col min="9460" max="9460" width="8.85546875" style="3" customWidth="1"/>
    <col min="9461" max="9462" width="11.7109375" style="3" customWidth="1"/>
    <col min="9463" max="9463" width="9.28515625" style="3" bestFit="1" customWidth="1"/>
    <col min="9464" max="9464" width="8.85546875" style="3" customWidth="1"/>
    <col min="9465" max="9465" width="11.85546875" style="3" bestFit="1" customWidth="1"/>
    <col min="9466" max="9467" width="8.85546875" style="3" customWidth="1"/>
    <col min="9468" max="9468" width="12.28515625" style="3" bestFit="1" customWidth="1"/>
    <col min="9469" max="9469" width="10.85546875" style="3" customWidth="1"/>
    <col min="9470" max="9470" width="9.7109375" style="3" customWidth="1"/>
    <col min="9471" max="9471" width="13.28515625" style="3" customWidth="1"/>
    <col min="9472" max="9472" width="9.5703125" style="3"/>
    <col min="9473" max="9473" width="3.28515625" style="3" customWidth="1"/>
    <col min="9474" max="9474" width="11.28515625" style="3" bestFit="1" customWidth="1"/>
    <col min="9475" max="9475" width="20.5703125" style="3" customWidth="1"/>
    <col min="9476" max="9476" width="13.5703125" style="3" customWidth="1"/>
    <col min="9477" max="9477" width="12.140625" style="3" customWidth="1"/>
    <col min="9478" max="9478" width="8.5703125" style="3" customWidth="1"/>
    <col min="9479" max="9479" width="12.42578125" style="3" customWidth="1"/>
    <col min="9480" max="9480" width="12.42578125" style="3" bestFit="1" customWidth="1"/>
    <col min="9481" max="9481" width="12.140625" style="3" customWidth="1"/>
    <col min="9482" max="9482" width="8.5703125" style="3" customWidth="1"/>
    <col min="9483" max="9483" width="12.42578125" style="3" customWidth="1"/>
    <col min="9484" max="9484" width="12.42578125" style="3" bestFit="1" customWidth="1"/>
    <col min="9485" max="9485" width="12.140625" style="3" customWidth="1"/>
    <col min="9486" max="9486" width="8.5703125" style="3" customWidth="1"/>
    <col min="9487" max="9487" width="12.42578125" style="3" customWidth="1"/>
    <col min="9488" max="9488" width="12.42578125" style="3" bestFit="1" customWidth="1"/>
    <col min="9489" max="9489" width="12.140625" style="3" customWidth="1"/>
    <col min="9490" max="9490" width="8.5703125" style="3" customWidth="1"/>
    <col min="9491" max="9491" width="12.42578125" style="3" customWidth="1"/>
    <col min="9492" max="9492" width="12.42578125" style="3" bestFit="1" customWidth="1"/>
    <col min="9493" max="9493" width="12.140625" style="3" customWidth="1"/>
    <col min="9494" max="9494" width="8.5703125" style="3" customWidth="1"/>
    <col min="9495" max="9495" width="12.42578125" style="3" customWidth="1"/>
    <col min="9496" max="9496" width="12.42578125" style="3" bestFit="1" customWidth="1"/>
    <col min="9497" max="9497" width="12.140625" style="3" customWidth="1"/>
    <col min="9498" max="9498" width="8.5703125" style="3" customWidth="1"/>
    <col min="9499" max="9499" width="12.42578125" style="3" customWidth="1"/>
    <col min="9500" max="9500" width="12.42578125" style="3" bestFit="1" customWidth="1"/>
    <col min="9501" max="9501" width="12.140625" style="3" customWidth="1"/>
    <col min="9502" max="9502" width="8.5703125" style="3" customWidth="1"/>
    <col min="9503" max="9503" width="12.42578125" style="3" customWidth="1"/>
    <col min="9504" max="9504" width="12.42578125" style="3" bestFit="1" customWidth="1"/>
    <col min="9505" max="9505" width="12.140625" style="3" customWidth="1"/>
    <col min="9506" max="9506" width="8.5703125" style="3" customWidth="1"/>
    <col min="9507" max="9507" width="12.42578125" style="3" customWidth="1"/>
    <col min="9508" max="9508" width="12.42578125" style="3" bestFit="1" customWidth="1"/>
    <col min="9509" max="9509" width="12.140625" style="3" customWidth="1"/>
    <col min="9510" max="9510" width="8.5703125" style="3" customWidth="1"/>
    <col min="9511" max="9511" width="12.42578125" style="3" customWidth="1"/>
    <col min="9512" max="9512" width="12.42578125" style="3" bestFit="1" customWidth="1"/>
    <col min="9513" max="9513" width="12.140625" style="3" customWidth="1"/>
    <col min="9514" max="9514" width="8.5703125" style="3" customWidth="1"/>
    <col min="9515" max="9515" width="12.42578125" style="3" customWidth="1"/>
    <col min="9516" max="9516" width="12.42578125" style="3" bestFit="1" customWidth="1"/>
    <col min="9517" max="9517" width="12.140625" style="3" customWidth="1"/>
    <col min="9518" max="9518" width="8.5703125" style="3" customWidth="1"/>
    <col min="9519" max="9519" width="12.42578125" style="3" customWidth="1"/>
    <col min="9520" max="9520" width="12.42578125" style="3" bestFit="1" customWidth="1"/>
    <col min="9521" max="9521" width="12.140625" style="3" customWidth="1"/>
    <col min="9522" max="9522" width="8.5703125" style="3" customWidth="1"/>
    <col min="9523" max="9523" width="12.42578125" style="3" customWidth="1"/>
    <col min="9524" max="9524" width="14.28515625" style="3" customWidth="1"/>
    <col min="9525" max="9527" width="12.42578125" style="3" customWidth="1"/>
    <col min="9528" max="9528" width="17.85546875" style="3" customWidth="1"/>
    <col min="9529" max="9529" width="17.5703125" style="3" customWidth="1"/>
    <col min="9530" max="9530" width="14.28515625" style="3" customWidth="1"/>
    <col min="9531" max="9531" width="10.28515625" style="3" customWidth="1"/>
    <col min="9532" max="9670" width="8.85546875" style="3" customWidth="1"/>
    <col min="9671" max="9671" width="3.28515625" style="3" customWidth="1"/>
    <col min="9672" max="9672" width="4.7109375" style="3" customWidth="1"/>
    <col min="9673" max="9673" width="16.7109375" style="3" customWidth="1"/>
    <col min="9674" max="9705" width="8.85546875" style="3" customWidth="1"/>
    <col min="9706" max="9706" width="12" style="3" customWidth="1"/>
    <col min="9707" max="9708" width="8.85546875" style="3" customWidth="1"/>
    <col min="9709" max="9709" width="10.42578125" style="3" customWidth="1"/>
    <col min="9710" max="9710" width="12.85546875" style="3" customWidth="1"/>
    <col min="9711" max="9711" width="9.28515625" style="3" bestFit="1" customWidth="1"/>
    <col min="9712" max="9712" width="8.85546875" style="3" customWidth="1"/>
    <col min="9713" max="9713" width="11.7109375" style="3" customWidth="1"/>
    <col min="9714" max="9714" width="12.140625" style="3" customWidth="1"/>
    <col min="9715" max="9715" width="9.28515625" style="3" bestFit="1" customWidth="1"/>
    <col min="9716" max="9716" width="8.85546875" style="3" customWidth="1"/>
    <col min="9717" max="9718" width="11.7109375" style="3" customWidth="1"/>
    <col min="9719" max="9719" width="9.28515625" style="3" bestFit="1" customWidth="1"/>
    <col min="9720" max="9720" width="8.85546875" style="3" customWidth="1"/>
    <col min="9721" max="9721" width="11.85546875" style="3" bestFit="1" customWidth="1"/>
    <col min="9722" max="9723" width="8.85546875" style="3" customWidth="1"/>
    <col min="9724" max="9724" width="12.28515625" style="3" bestFit="1" customWidth="1"/>
    <col min="9725" max="9725" width="10.85546875" style="3" customWidth="1"/>
    <col min="9726" max="9726" width="9.7109375" style="3" customWidth="1"/>
    <col min="9727" max="9727" width="13.28515625" style="3" customWidth="1"/>
    <col min="9728" max="9728" width="9.5703125" style="3"/>
    <col min="9729" max="9729" width="3.28515625" style="3" customWidth="1"/>
    <col min="9730" max="9730" width="11.28515625" style="3" bestFit="1" customWidth="1"/>
    <col min="9731" max="9731" width="20.5703125" style="3" customWidth="1"/>
    <col min="9732" max="9732" width="13.5703125" style="3" customWidth="1"/>
    <col min="9733" max="9733" width="12.140625" style="3" customWidth="1"/>
    <col min="9734" max="9734" width="8.5703125" style="3" customWidth="1"/>
    <col min="9735" max="9735" width="12.42578125" style="3" customWidth="1"/>
    <col min="9736" max="9736" width="12.42578125" style="3" bestFit="1" customWidth="1"/>
    <col min="9737" max="9737" width="12.140625" style="3" customWidth="1"/>
    <col min="9738" max="9738" width="8.5703125" style="3" customWidth="1"/>
    <col min="9739" max="9739" width="12.42578125" style="3" customWidth="1"/>
    <col min="9740" max="9740" width="12.42578125" style="3" bestFit="1" customWidth="1"/>
    <col min="9741" max="9741" width="12.140625" style="3" customWidth="1"/>
    <col min="9742" max="9742" width="8.5703125" style="3" customWidth="1"/>
    <col min="9743" max="9743" width="12.42578125" style="3" customWidth="1"/>
    <col min="9744" max="9744" width="12.42578125" style="3" bestFit="1" customWidth="1"/>
    <col min="9745" max="9745" width="12.140625" style="3" customWidth="1"/>
    <col min="9746" max="9746" width="8.5703125" style="3" customWidth="1"/>
    <col min="9747" max="9747" width="12.42578125" style="3" customWidth="1"/>
    <col min="9748" max="9748" width="12.42578125" style="3" bestFit="1" customWidth="1"/>
    <col min="9749" max="9749" width="12.140625" style="3" customWidth="1"/>
    <col min="9750" max="9750" width="8.5703125" style="3" customWidth="1"/>
    <col min="9751" max="9751" width="12.42578125" style="3" customWidth="1"/>
    <col min="9752" max="9752" width="12.42578125" style="3" bestFit="1" customWidth="1"/>
    <col min="9753" max="9753" width="12.140625" style="3" customWidth="1"/>
    <col min="9754" max="9754" width="8.5703125" style="3" customWidth="1"/>
    <col min="9755" max="9755" width="12.42578125" style="3" customWidth="1"/>
    <col min="9756" max="9756" width="12.42578125" style="3" bestFit="1" customWidth="1"/>
    <col min="9757" max="9757" width="12.140625" style="3" customWidth="1"/>
    <col min="9758" max="9758" width="8.5703125" style="3" customWidth="1"/>
    <col min="9759" max="9759" width="12.42578125" style="3" customWidth="1"/>
    <col min="9760" max="9760" width="12.42578125" style="3" bestFit="1" customWidth="1"/>
    <col min="9761" max="9761" width="12.140625" style="3" customWidth="1"/>
    <col min="9762" max="9762" width="8.5703125" style="3" customWidth="1"/>
    <col min="9763" max="9763" width="12.42578125" style="3" customWidth="1"/>
    <col min="9764" max="9764" width="12.42578125" style="3" bestFit="1" customWidth="1"/>
    <col min="9765" max="9765" width="12.140625" style="3" customWidth="1"/>
    <col min="9766" max="9766" width="8.5703125" style="3" customWidth="1"/>
    <col min="9767" max="9767" width="12.42578125" style="3" customWidth="1"/>
    <col min="9768" max="9768" width="12.42578125" style="3" bestFit="1" customWidth="1"/>
    <col min="9769" max="9769" width="12.140625" style="3" customWidth="1"/>
    <col min="9770" max="9770" width="8.5703125" style="3" customWidth="1"/>
    <col min="9771" max="9771" width="12.42578125" style="3" customWidth="1"/>
    <col min="9772" max="9772" width="12.42578125" style="3" bestFit="1" customWidth="1"/>
    <col min="9773" max="9773" width="12.140625" style="3" customWidth="1"/>
    <col min="9774" max="9774" width="8.5703125" style="3" customWidth="1"/>
    <col min="9775" max="9775" width="12.42578125" style="3" customWidth="1"/>
    <col min="9776" max="9776" width="12.42578125" style="3" bestFit="1" customWidth="1"/>
    <col min="9777" max="9777" width="12.140625" style="3" customWidth="1"/>
    <col min="9778" max="9778" width="8.5703125" style="3" customWidth="1"/>
    <col min="9779" max="9779" width="12.42578125" style="3" customWidth="1"/>
    <col min="9780" max="9780" width="14.28515625" style="3" customWidth="1"/>
    <col min="9781" max="9783" width="12.42578125" style="3" customWidth="1"/>
    <col min="9784" max="9784" width="17.85546875" style="3" customWidth="1"/>
    <col min="9785" max="9785" width="17.5703125" style="3" customWidth="1"/>
    <col min="9786" max="9786" width="14.28515625" style="3" customWidth="1"/>
    <col min="9787" max="9787" width="10.28515625" style="3" customWidth="1"/>
    <col min="9788" max="9926" width="8.85546875" style="3" customWidth="1"/>
    <col min="9927" max="9927" width="3.28515625" style="3" customWidth="1"/>
    <col min="9928" max="9928" width="4.7109375" style="3" customWidth="1"/>
    <col min="9929" max="9929" width="16.7109375" style="3" customWidth="1"/>
    <col min="9930" max="9961" width="8.85546875" style="3" customWidth="1"/>
    <col min="9962" max="9962" width="12" style="3" customWidth="1"/>
    <col min="9963" max="9964" width="8.85546875" style="3" customWidth="1"/>
    <col min="9965" max="9965" width="10.42578125" style="3" customWidth="1"/>
    <col min="9966" max="9966" width="12.85546875" style="3" customWidth="1"/>
    <col min="9967" max="9967" width="9.28515625" style="3" bestFit="1" customWidth="1"/>
    <col min="9968" max="9968" width="8.85546875" style="3" customWidth="1"/>
    <col min="9969" max="9969" width="11.7109375" style="3" customWidth="1"/>
    <col min="9970" max="9970" width="12.140625" style="3" customWidth="1"/>
    <col min="9971" max="9971" width="9.28515625" style="3" bestFit="1" customWidth="1"/>
    <col min="9972" max="9972" width="8.85546875" style="3" customWidth="1"/>
    <col min="9973" max="9974" width="11.7109375" style="3" customWidth="1"/>
    <col min="9975" max="9975" width="9.28515625" style="3" bestFit="1" customWidth="1"/>
    <col min="9976" max="9976" width="8.85546875" style="3" customWidth="1"/>
    <col min="9977" max="9977" width="11.85546875" style="3" bestFit="1" customWidth="1"/>
    <col min="9978" max="9979" width="8.85546875" style="3" customWidth="1"/>
    <col min="9980" max="9980" width="12.28515625" style="3" bestFit="1" customWidth="1"/>
    <col min="9981" max="9981" width="10.85546875" style="3" customWidth="1"/>
    <col min="9982" max="9982" width="9.7109375" style="3" customWidth="1"/>
    <col min="9983" max="9983" width="13.28515625" style="3" customWidth="1"/>
    <col min="9984" max="9984" width="9.5703125" style="3"/>
    <col min="9985" max="9985" width="3.28515625" style="3" customWidth="1"/>
    <col min="9986" max="9986" width="11.28515625" style="3" bestFit="1" customWidth="1"/>
    <col min="9987" max="9987" width="20.5703125" style="3" customWidth="1"/>
    <col min="9988" max="9988" width="13.5703125" style="3" customWidth="1"/>
    <col min="9989" max="9989" width="12.140625" style="3" customWidth="1"/>
    <col min="9990" max="9990" width="8.5703125" style="3" customWidth="1"/>
    <col min="9991" max="9991" width="12.42578125" style="3" customWidth="1"/>
    <col min="9992" max="9992" width="12.42578125" style="3" bestFit="1" customWidth="1"/>
    <col min="9993" max="9993" width="12.140625" style="3" customWidth="1"/>
    <col min="9994" max="9994" width="8.5703125" style="3" customWidth="1"/>
    <col min="9995" max="9995" width="12.42578125" style="3" customWidth="1"/>
    <col min="9996" max="9996" width="12.42578125" style="3" bestFit="1" customWidth="1"/>
    <col min="9997" max="9997" width="12.140625" style="3" customWidth="1"/>
    <col min="9998" max="9998" width="8.5703125" style="3" customWidth="1"/>
    <col min="9999" max="9999" width="12.42578125" style="3" customWidth="1"/>
    <col min="10000" max="10000" width="12.42578125" style="3" bestFit="1" customWidth="1"/>
    <col min="10001" max="10001" width="12.140625" style="3" customWidth="1"/>
    <col min="10002" max="10002" width="8.5703125" style="3" customWidth="1"/>
    <col min="10003" max="10003" width="12.42578125" style="3" customWidth="1"/>
    <col min="10004" max="10004" width="12.42578125" style="3" bestFit="1" customWidth="1"/>
    <col min="10005" max="10005" width="12.140625" style="3" customWidth="1"/>
    <col min="10006" max="10006" width="8.5703125" style="3" customWidth="1"/>
    <col min="10007" max="10007" width="12.42578125" style="3" customWidth="1"/>
    <col min="10008" max="10008" width="12.42578125" style="3" bestFit="1" customWidth="1"/>
    <col min="10009" max="10009" width="12.140625" style="3" customWidth="1"/>
    <col min="10010" max="10010" width="8.5703125" style="3" customWidth="1"/>
    <col min="10011" max="10011" width="12.42578125" style="3" customWidth="1"/>
    <col min="10012" max="10012" width="12.42578125" style="3" bestFit="1" customWidth="1"/>
    <col min="10013" max="10013" width="12.140625" style="3" customWidth="1"/>
    <col min="10014" max="10014" width="8.5703125" style="3" customWidth="1"/>
    <col min="10015" max="10015" width="12.42578125" style="3" customWidth="1"/>
    <col min="10016" max="10016" width="12.42578125" style="3" bestFit="1" customWidth="1"/>
    <col min="10017" max="10017" width="12.140625" style="3" customWidth="1"/>
    <col min="10018" max="10018" width="8.5703125" style="3" customWidth="1"/>
    <col min="10019" max="10019" width="12.42578125" style="3" customWidth="1"/>
    <col min="10020" max="10020" width="12.42578125" style="3" bestFit="1" customWidth="1"/>
    <col min="10021" max="10021" width="12.140625" style="3" customWidth="1"/>
    <col min="10022" max="10022" width="8.5703125" style="3" customWidth="1"/>
    <col min="10023" max="10023" width="12.42578125" style="3" customWidth="1"/>
    <col min="10024" max="10024" width="12.42578125" style="3" bestFit="1" customWidth="1"/>
    <col min="10025" max="10025" width="12.140625" style="3" customWidth="1"/>
    <col min="10026" max="10026" width="8.5703125" style="3" customWidth="1"/>
    <col min="10027" max="10027" width="12.42578125" style="3" customWidth="1"/>
    <col min="10028" max="10028" width="12.42578125" style="3" bestFit="1" customWidth="1"/>
    <col min="10029" max="10029" width="12.140625" style="3" customWidth="1"/>
    <col min="10030" max="10030" width="8.5703125" style="3" customWidth="1"/>
    <col min="10031" max="10031" width="12.42578125" style="3" customWidth="1"/>
    <col min="10032" max="10032" width="12.42578125" style="3" bestFit="1" customWidth="1"/>
    <col min="10033" max="10033" width="12.140625" style="3" customWidth="1"/>
    <col min="10034" max="10034" width="8.5703125" style="3" customWidth="1"/>
    <col min="10035" max="10035" width="12.42578125" style="3" customWidth="1"/>
    <col min="10036" max="10036" width="14.28515625" style="3" customWidth="1"/>
    <col min="10037" max="10039" width="12.42578125" style="3" customWidth="1"/>
    <col min="10040" max="10040" width="17.85546875" style="3" customWidth="1"/>
    <col min="10041" max="10041" width="17.5703125" style="3" customWidth="1"/>
    <col min="10042" max="10042" width="14.28515625" style="3" customWidth="1"/>
    <col min="10043" max="10043" width="10.28515625" style="3" customWidth="1"/>
    <col min="10044" max="10182" width="8.85546875" style="3" customWidth="1"/>
    <col min="10183" max="10183" width="3.28515625" style="3" customWidth="1"/>
    <col min="10184" max="10184" width="4.7109375" style="3" customWidth="1"/>
    <col min="10185" max="10185" width="16.7109375" style="3" customWidth="1"/>
    <col min="10186" max="10217" width="8.85546875" style="3" customWidth="1"/>
    <col min="10218" max="10218" width="12" style="3" customWidth="1"/>
    <col min="10219" max="10220" width="8.85546875" style="3" customWidth="1"/>
    <col min="10221" max="10221" width="10.42578125" style="3" customWidth="1"/>
    <col min="10222" max="10222" width="12.85546875" style="3" customWidth="1"/>
    <col min="10223" max="10223" width="9.28515625" style="3" bestFit="1" customWidth="1"/>
    <col min="10224" max="10224" width="8.85546875" style="3" customWidth="1"/>
    <col min="10225" max="10225" width="11.7109375" style="3" customWidth="1"/>
    <col min="10226" max="10226" width="12.140625" style="3" customWidth="1"/>
    <col min="10227" max="10227" width="9.28515625" style="3" bestFit="1" customWidth="1"/>
    <col min="10228" max="10228" width="8.85546875" style="3" customWidth="1"/>
    <col min="10229" max="10230" width="11.7109375" style="3" customWidth="1"/>
    <col min="10231" max="10231" width="9.28515625" style="3" bestFit="1" customWidth="1"/>
    <col min="10232" max="10232" width="8.85546875" style="3" customWidth="1"/>
    <col min="10233" max="10233" width="11.85546875" style="3" bestFit="1" customWidth="1"/>
    <col min="10234" max="10235" width="8.85546875" style="3" customWidth="1"/>
    <col min="10236" max="10236" width="12.28515625" style="3" bestFit="1" customWidth="1"/>
    <col min="10237" max="10237" width="10.85546875" style="3" customWidth="1"/>
    <col min="10238" max="10238" width="9.7109375" style="3" customWidth="1"/>
    <col min="10239" max="10239" width="13.28515625" style="3" customWidth="1"/>
    <col min="10240" max="10240" width="9.5703125" style="3"/>
    <col min="10241" max="10241" width="3.28515625" style="3" customWidth="1"/>
    <col min="10242" max="10242" width="11.28515625" style="3" bestFit="1" customWidth="1"/>
    <col min="10243" max="10243" width="20.5703125" style="3" customWidth="1"/>
    <col min="10244" max="10244" width="13.5703125" style="3" customWidth="1"/>
    <col min="10245" max="10245" width="12.140625" style="3" customWidth="1"/>
    <col min="10246" max="10246" width="8.5703125" style="3" customWidth="1"/>
    <col min="10247" max="10247" width="12.42578125" style="3" customWidth="1"/>
    <col min="10248" max="10248" width="12.42578125" style="3" bestFit="1" customWidth="1"/>
    <col min="10249" max="10249" width="12.140625" style="3" customWidth="1"/>
    <col min="10250" max="10250" width="8.5703125" style="3" customWidth="1"/>
    <col min="10251" max="10251" width="12.42578125" style="3" customWidth="1"/>
    <col min="10252" max="10252" width="12.42578125" style="3" bestFit="1" customWidth="1"/>
    <col min="10253" max="10253" width="12.140625" style="3" customWidth="1"/>
    <col min="10254" max="10254" width="8.5703125" style="3" customWidth="1"/>
    <col min="10255" max="10255" width="12.42578125" style="3" customWidth="1"/>
    <col min="10256" max="10256" width="12.42578125" style="3" bestFit="1" customWidth="1"/>
    <col min="10257" max="10257" width="12.140625" style="3" customWidth="1"/>
    <col min="10258" max="10258" width="8.5703125" style="3" customWidth="1"/>
    <col min="10259" max="10259" width="12.42578125" style="3" customWidth="1"/>
    <col min="10260" max="10260" width="12.42578125" style="3" bestFit="1" customWidth="1"/>
    <col min="10261" max="10261" width="12.140625" style="3" customWidth="1"/>
    <col min="10262" max="10262" width="8.5703125" style="3" customWidth="1"/>
    <col min="10263" max="10263" width="12.42578125" style="3" customWidth="1"/>
    <col min="10264" max="10264" width="12.42578125" style="3" bestFit="1" customWidth="1"/>
    <col min="10265" max="10265" width="12.140625" style="3" customWidth="1"/>
    <col min="10266" max="10266" width="8.5703125" style="3" customWidth="1"/>
    <col min="10267" max="10267" width="12.42578125" style="3" customWidth="1"/>
    <col min="10268" max="10268" width="12.42578125" style="3" bestFit="1" customWidth="1"/>
    <col min="10269" max="10269" width="12.140625" style="3" customWidth="1"/>
    <col min="10270" max="10270" width="8.5703125" style="3" customWidth="1"/>
    <col min="10271" max="10271" width="12.42578125" style="3" customWidth="1"/>
    <col min="10272" max="10272" width="12.42578125" style="3" bestFit="1" customWidth="1"/>
    <col min="10273" max="10273" width="12.140625" style="3" customWidth="1"/>
    <col min="10274" max="10274" width="8.5703125" style="3" customWidth="1"/>
    <col min="10275" max="10275" width="12.42578125" style="3" customWidth="1"/>
    <col min="10276" max="10276" width="12.42578125" style="3" bestFit="1" customWidth="1"/>
    <col min="10277" max="10277" width="12.140625" style="3" customWidth="1"/>
    <col min="10278" max="10278" width="8.5703125" style="3" customWidth="1"/>
    <col min="10279" max="10279" width="12.42578125" style="3" customWidth="1"/>
    <col min="10280" max="10280" width="12.42578125" style="3" bestFit="1" customWidth="1"/>
    <col min="10281" max="10281" width="12.140625" style="3" customWidth="1"/>
    <col min="10282" max="10282" width="8.5703125" style="3" customWidth="1"/>
    <col min="10283" max="10283" width="12.42578125" style="3" customWidth="1"/>
    <col min="10284" max="10284" width="12.42578125" style="3" bestFit="1" customWidth="1"/>
    <col min="10285" max="10285" width="12.140625" style="3" customWidth="1"/>
    <col min="10286" max="10286" width="8.5703125" style="3" customWidth="1"/>
    <col min="10287" max="10287" width="12.42578125" style="3" customWidth="1"/>
    <col min="10288" max="10288" width="12.42578125" style="3" bestFit="1" customWidth="1"/>
    <col min="10289" max="10289" width="12.140625" style="3" customWidth="1"/>
    <col min="10290" max="10290" width="8.5703125" style="3" customWidth="1"/>
    <col min="10291" max="10291" width="12.42578125" style="3" customWidth="1"/>
    <col min="10292" max="10292" width="14.28515625" style="3" customWidth="1"/>
    <col min="10293" max="10295" width="12.42578125" style="3" customWidth="1"/>
    <col min="10296" max="10296" width="17.85546875" style="3" customWidth="1"/>
    <col min="10297" max="10297" width="17.5703125" style="3" customWidth="1"/>
    <col min="10298" max="10298" width="14.28515625" style="3" customWidth="1"/>
    <col min="10299" max="10299" width="10.28515625" style="3" customWidth="1"/>
    <col min="10300" max="10438" width="8.85546875" style="3" customWidth="1"/>
    <col min="10439" max="10439" width="3.28515625" style="3" customWidth="1"/>
    <col min="10440" max="10440" width="4.7109375" style="3" customWidth="1"/>
    <col min="10441" max="10441" width="16.7109375" style="3" customWidth="1"/>
    <col min="10442" max="10473" width="8.85546875" style="3" customWidth="1"/>
    <col min="10474" max="10474" width="12" style="3" customWidth="1"/>
    <col min="10475" max="10476" width="8.85546875" style="3" customWidth="1"/>
    <col min="10477" max="10477" width="10.42578125" style="3" customWidth="1"/>
    <col min="10478" max="10478" width="12.85546875" style="3" customWidth="1"/>
    <col min="10479" max="10479" width="9.28515625" style="3" bestFit="1" customWidth="1"/>
    <col min="10480" max="10480" width="8.85546875" style="3" customWidth="1"/>
    <col min="10481" max="10481" width="11.7109375" style="3" customWidth="1"/>
    <col min="10482" max="10482" width="12.140625" style="3" customWidth="1"/>
    <col min="10483" max="10483" width="9.28515625" style="3" bestFit="1" customWidth="1"/>
    <col min="10484" max="10484" width="8.85546875" style="3" customWidth="1"/>
    <col min="10485" max="10486" width="11.7109375" style="3" customWidth="1"/>
    <col min="10487" max="10487" width="9.28515625" style="3" bestFit="1" customWidth="1"/>
    <col min="10488" max="10488" width="8.85546875" style="3" customWidth="1"/>
    <col min="10489" max="10489" width="11.85546875" style="3" bestFit="1" customWidth="1"/>
    <col min="10490" max="10491" width="8.85546875" style="3" customWidth="1"/>
    <col min="10492" max="10492" width="12.28515625" style="3" bestFit="1" customWidth="1"/>
    <col min="10493" max="10493" width="10.85546875" style="3" customWidth="1"/>
    <col min="10494" max="10494" width="9.7109375" style="3" customWidth="1"/>
    <col min="10495" max="10495" width="13.28515625" style="3" customWidth="1"/>
    <col min="10496" max="10496" width="9.5703125" style="3"/>
    <col min="10497" max="10497" width="3.28515625" style="3" customWidth="1"/>
    <col min="10498" max="10498" width="11.28515625" style="3" bestFit="1" customWidth="1"/>
    <col min="10499" max="10499" width="20.5703125" style="3" customWidth="1"/>
    <col min="10500" max="10500" width="13.5703125" style="3" customWidth="1"/>
    <col min="10501" max="10501" width="12.140625" style="3" customWidth="1"/>
    <col min="10502" max="10502" width="8.5703125" style="3" customWidth="1"/>
    <col min="10503" max="10503" width="12.42578125" style="3" customWidth="1"/>
    <col min="10504" max="10504" width="12.42578125" style="3" bestFit="1" customWidth="1"/>
    <col min="10505" max="10505" width="12.140625" style="3" customWidth="1"/>
    <col min="10506" max="10506" width="8.5703125" style="3" customWidth="1"/>
    <col min="10507" max="10507" width="12.42578125" style="3" customWidth="1"/>
    <col min="10508" max="10508" width="12.42578125" style="3" bestFit="1" customWidth="1"/>
    <col min="10509" max="10509" width="12.140625" style="3" customWidth="1"/>
    <col min="10510" max="10510" width="8.5703125" style="3" customWidth="1"/>
    <col min="10511" max="10511" width="12.42578125" style="3" customWidth="1"/>
    <col min="10512" max="10512" width="12.42578125" style="3" bestFit="1" customWidth="1"/>
    <col min="10513" max="10513" width="12.140625" style="3" customWidth="1"/>
    <col min="10514" max="10514" width="8.5703125" style="3" customWidth="1"/>
    <col min="10515" max="10515" width="12.42578125" style="3" customWidth="1"/>
    <col min="10516" max="10516" width="12.42578125" style="3" bestFit="1" customWidth="1"/>
    <col min="10517" max="10517" width="12.140625" style="3" customWidth="1"/>
    <col min="10518" max="10518" width="8.5703125" style="3" customWidth="1"/>
    <col min="10519" max="10519" width="12.42578125" style="3" customWidth="1"/>
    <col min="10520" max="10520" width="12.42578125" style="3" bestFit="1" customWidth="1"/>
    <col min="10521" max="10521" width="12.140625" style="3" customWidth="1"/>
    <col min="10522" max="10522" width="8.5703125" style="3" customWidth="1"/>
    <col min="10523" max="10523" width="12.42578125" style="3" customWidth="1"/>
    <col min="10524" max="10524" width="12.42578125" style="3" bestFit="1" customWidth="1"/>
    <col min="10525" max="10525" width="12.140625" style="3" customWidth="1"/>
    <col min="10526" max="10526" width="8.5703125" style="3" customWidth="1"/>
    <col min="10527" max="10527" width="12.42578125" style="3" customWidth="1"/>
    <col min="10528" max="10528" width="12.42578125" style="3" bestFit="1" customWidth="1"/>
    <col min="10529" max="10529" width="12.140625" style="3" customWidth="1"/>
    <col min="10530" max="10530" width="8.5703125" style="3" customWidth="1"/>
    <col min="10531" max="10531" width="12.42578125" style="3" customWidth="1"/>
    <col min="10532" max="10532" width="12.42578125" style="3" bestFit="1" customWidth="1"/>
    <col min="10533" max="10533" width="12.140625" style="3" customWidth="1"/>
    <col min="10534" max="10534" width="8.5703125" style="3" customWidth="1"/>
    <col min="10535" max="10535" width="12.42578125" style="3" customWidth="1"/>
    <col min="10536" max="10536" width="12.42578125" style="3" bestFit="1" customWidth="1"/>
    <col min="10537" max="10537" width="12.140625" style="3" customWidth="1"/>
    <col min="10538" max="10538" width="8.5703125" style="3" customWidth="1"/>
    <col min="10539" max="10539" width="12.42578125" style="3" customWidth="1"/>
    <col min="10540" max="10540" width="12.42578125" style="3" bestFit="1" customWidth="1"/>
    <col min="10541" max="10541" width="12.140625" style="3" customWidth="1"/>
    <col min="10542" max="10542" width="8.5703125" style="3" customWidth="1"/>
    <col min="10543" max="10543" width="12.42578125" style="3" customWidth="1"/>
    <col min="10544" max="10544" width="12.42578125" style="3" bestFit="1" customWidth="1"/>
    <col min="10545" max="10545" width="12.140625" style="3" customWidth="1"/>
    <col min="10546" max="10546" width="8.5703125" style="3" customWidth="1"/>
    <col min="10547" max="10547" width="12.42578125" style="3" customWidth="1"/>
    <col min="10548" max="10548" width="14.28515625" style="3" customWidth="1"/>
    <col min="10549" max="10551" width="12.42578125" style="3" customWidth="1"/>
    <col min="10552" max="10552" width="17.85546875" style="3" customWidth="1"/>
    <col min="10553" max="10553" width="17.5703125" style="3" customWidth="1"/>
    <col min="10554" max="10554" width="14.28515625" style="3" customWidth="1"/>
    <col min="10555" max="10555" width="10.28515625" style="3" customWidth="1"/>
    <col min="10556" max="10694" width="8.85546875" style="3" customWidth="1"/>
    <col min="10695" max="10695" width="3.28515625" style="3" customWidth="1"/>
    <col min="10696" max="10696" width="4.7109375" style="3" customWidth="1"/>
    <col min="10697" max="10697" width="16.7109375" style="3" customWidth="1"/>
    <col min="10698" max="10729" width="8.85546875" style="3" customWidth="1"/>
    <col min="10730" max="10730" width="12" style="3" customWidth="1"/>
    <col min="10731" max="10732" width="8.85546875" style="3" customWidth="1"/>
    <col min="10733" max="10733" width="10.42578125" style="3" customWidth="1"/>
    <col min="10734" max="10734" width="12.85546875" style="3" customWidth="1"/>
    <col min="10735" max="10735" width="9.28515625" style="3" bestFit="1" customWidth="1"/>
    <col min="10736" max="10736" width="8.85546875" style="3" customWidth="1"/>
    <col min="10737" max="10737" width="11.7109375" style="3" customWidth="1"/>
    <col min="10738" max="10738" width="12.140625" style="3" customWidth="1"/>
    <col min="10739" max="10739" width="9.28515625" style="3" bestFit="1" customWidth="1"/>
    <col min="10740" max="10740" width="8.85546875" style="3" customWidth="1"/>
    <col min="10741" max="10742" width="11.7109375" style="3" customWidth="1"/>
    <col min="10743" max="10743" width="9.28515625" style="3" bestFit="1" customWidth="1"/>
    <col min="10744" max="10744" width="8.85546875" style="3" customWidth="1"/>
    <col min="10745" max="10745" width="11.85546875" style="3" bestFit="1" customWidth="1"/>
    <col min="10746" max="10747" width="8.85546875" style="3" customWidth="1"/>
    <col min="10748" max="10748" width="12.28515625" style="3" bestFit="1" customWidth="1"/>
    <col min="10749" max="10749" width="10.85546875" style="3" customWidth="1"/>
    <col min="10750" max="10750" width="9.7109375" style="3" customWidth="1"/>
    <col min="10751" max="10751" width="13.28515625" style="3" customWidth="1"/>
    <col min="10752" max="10752" width="9.5703125" style="3"/>
    <col min="10753" max="10753" width="3.28515625" style="3" customWidth="1"/>
    <col min="10754" max="10754" width="11.28515625" style="3" bestFit="1" customWidth="1"/>
    <col min="10755" max="10755" width="20.5703125" style="3" customWidth="1"/>
    <col min="10756" max="10756" width="13.5703125" style="3" customWidth="1"/>
    <col min="10757" max="10757" width="12.140625" style="3" customWidth="1"/>
    <col min="10758" max="10758" width="8.5703125" style="3" customWidth="1"/>
    <col min="10759" max="10759" width="12.42578125" style="3" customWidth="1"/>
    <col min="10760" max="10760" width="12.42578125" style="3" bestFit="1" customWidth="1"/>
    <col min="10761" max="10761" width="12.140625" style="3" customWidth="1"/>
    <col min="10762" max="10762" width="8.5703125" style="3" customWidth="1"/>
    <col min="10763" max="10763" width="12.42578125" style="3" customWidth="1"/>
    <col min="10764" max="10764" width="12.42578125" style="3" bestFit="1" customWidth="1"/>
    <col min="10765" max="10765" width="12.140625" style="3" customWidth="1"/>
    <col min="10766" max="10766" width="8.5703125" style="3" customWidth="1"/>
    <col min="10767" max="10767" width="12.42578125" style="3" customWidth="1"/>
    <col min="10768" max="10768" width="12.42578125" style="3" bestFit="1" customWidth="1"/>
    <col min="10769" max="10769" width="12.140625" style="3" customWidth="1"/>
    <col min="10770" max="10770" width="8.5703125" style="3" customWidth="1"/>
    <col min="10771" max="10771" width="12.42578125" style="3" customWidth="1"/>
    <col min="10772" max="10772" width="12.42578125" style="3" bestFit="1" customWidth="1"/>
    <col min="10773" max="10773" width="12.140625" style="3" customWidth="1"/>
    <col min="10774" max="10774" width="8.5703125" style="3" customWidth="1"/>
    <col min="10775" max="10775" width="12.42578125" style="3" customWidth="1"/>
    <col min="10776" max="10776" width="12.42578125" style="3" bestFit="1" customWidth="1"/>
    <col min="10777" max="10777" width="12.140625" style="3" customWidth="1"/>
    <col min="10778" max="10778" width="8.5703125" style="3" customWidth="1"/>
    <col min="10779" max="10779" width="12.42578125" style="3" customWidth="1"/>
    <col min="10780" max="10780" width="12.42578125" style="3" bestFit="1" customWidth="1"/>
    <col min="10781" max="10781" width="12.140625" style="3" customWidth="1"/>
    <col min="10782" max="10782" width="8.5703125" style="3" customWidth="1"/>
    <col min="10783" max="10783" width="12.42578125" style="3" customWidth="1"/>
    <col min="10784" max="10784" width="12.42578125" style="3" bestFit="1" customWidth="1"/>
    <col min="10785" max="10785" width="12.140625" style="3" customWidth="1"/>
    <col min="10786" max="10786" width="8.5703125" style="3" customWidth="1"/>
    <col min="10787" max="10787" width="12.42578125" style="3" customWidth="1"/>
    <col min="10788" max="10788" width="12.42578125" style="3" bestFit="1" customWidth="1"/>
    <col min="10789" max="10789" width="12.140625" style="3" customWidth="1"/>
    <col min="10790" max="10790" width="8.5703125" style="3" customWidth="1"/>
    <col min="10791" max="10791" width="12.42578125" style="3" customWidth="1"/>
    <col min="10792" max="10792" width="12.42578125" style="3" bestFit="1" customWidth="1"/>
    <col min="10793" max="10793" width="12.140625" style="3" customWidth="1"/>
    <col min="10794" max="10794" width="8.5703125" style="3" customWidth="1"/>
    <col min="10795" max="10795" width="12.42578125" style="3" customWidth="1"/>
    <col min="10796" max="10796" width="12.42578125" style="3" bestFit="1" customWidth="1"/>
    <col min="10797" max="10797" width="12.140625" style="3" customWidth="1"/>
    <col min="10798" max="10798" width="8.5703125" style="3" customWidth="1"/>
    <col min="10799" max="10799" width="12.42578125" style="3" customWidth="1"/>
    <col min="10800" max="10800" width="12.42578125" style="3" bestFit="1" customWidth="1"/>
    <col min="10801" max="10801" width="12.140625" style="3" customWidth="1"/>
    <col min="10802" max="10802" width="8.5703125" style="3" customWidth="1"/>
    <col min="10803" max="10803" width="12.42578125" style="3" customWidth="1"/>
    <col min="10804" max="10804" width="14.28515625" style="3" customWidth="1"/>
    <col min="10805" max="10807" width="12.42578125" style="3" customWidth="1"/>
    <col min="10808" max="10808" width="17.85546875" style="3" customWidth="1"/>
    <col min="10809" max="10809" width="17.5703125" style="3" customWidth="1"/>
    <col min="10810" max="10810" width="14.28515625" style="3" customWidth="1"/>
    <col min="10811" max="10811" width="10.28515625" style="3" customWidth="1"/>
    <col min="10812" max="10950" width="8.85546875" style="3" customWidth="1"/>
    <col min="10951" max="10951" width="3.28515625" style="3" customWidth="1"/>
    <col min="10952" max="10952" width="4.7109375" style="3" customWidth="1"/>
    <col min="10953" max="10953" width="16.7109375" style="3" customWidth="1"/>
    <col min="10954" max="10985" width="8.85546875" style="3" customWidth="1"/>
    <col min="10986" max="10986" width="12" style="3" customWidth="1"/>
    <col min="10987" max="10988" width="8.85546875" style="3" customWidth="1"/>
    <col min="10989" max="10989" width="10.42578125" style="3" customWidth="1"/>
    <col min="10990" max="10990" width="12.85546875" style="3" customWidth="1"/>
    <col min="10991" max="10991" width="9.28515625" style="3" bestFit="1" customWidth="1"/>
    <col min="10992" max="10992" width="8.85546875" style="3" customWidth="1"/>
    <col min="10993" max="10993" width="11.7109375" style="3" customWidth="1"/>
    <col min="10994" max="10994" width="12.140625" style="3" customWidth="1"/>
    <col min="10995" max="10995" width="9.28515625" style="3" bestFit="1" customWidth="1"/>
    <col min="10996" max="10996" width="8.85546875" style="3" customWidth="1"/>
    <col min="10997" max="10998" width="11.7109375" style="3" customWidth="1"/>
    <col min="10999" max="10999" width="9.28515625" style="3" bestFit="1" customWidth="1"/>
    <col min="11000" max="11000" width="8.85546875" style="3" customWidth="1"/>
    <col min="11001" max="11001" width="11.85546875" style="3" bestFit="1" customWidth="1"/>
    <col min="11002" max="11003" width="8.85546875" style="3" customWidth="1"/>
    <col min="11004" max="11004" width="12.28515625" style="3" bestFit="1" customWidth="1"/>
    <col min="11005" max="11005" width="10.85546875" style="3" customWidth="1"/>
    <col min="11006" max="11006" width="9.7109375" style="3" customWidth="1"/>
    <col min="11007" max="11007" width="13.28515625" style="3" customWidth="1"/>
    <col min="11008" max="11008" width="9.5703125" style="3"/>
    <col min="11009" max="11009" width="3.28515625" style="3" customWidth="1"/>
    <col min="11010" max="11010" width="11.28515625" style="3" bestFit="1" customWidth="1"/>
    <col min="11011" max="11011" width="20.5703125" style="3" customWidth="1"/>
    <col min="11012" max="11012" width="13.5703125" style="3" customWidth="1"/>
    <col min="11013" max="11013" width="12.140625" style="3" customWidth="1"/>
    <col min="11014" max="11014" width="8.5703125" style="3" customWidth="1"/>
    <col min="11015" max="11015" width="12.42578125" style="3" customWidth="1"/>
    <col min="11016" max="11016" width="12.42578125" style="3" bestFit="1" customWidth="1"/>
    <col min="11017" max="11017" width="12.140625" style="3" customWidth="1"/>
    <col min="11018" max="11018" width="8.5703125" style="3" customWidth="1"/>
    <col min="11019" max="11019" width="12.42578125" style="3" customWidth="1"/>
    <col min="11020" max="11020" width="12.42578125" style="3" bestFit="1" customWidth="1"/>
    <col min="11021" max="11021" width="12.140625" style="3" customWidth="1"/>
    <col min="11022" max="11022" width="8.5703125" style="3" customWidth="1"/>
    <col min="11023" max="11023" width="12.42578125" style="3" customWidth="1"/>
    <col min="11024" max="11024" width="12.42578125" style="3" bestFit="1" customWidth="1"/>
    <col min="11025" max="11025" width="12.140625" style="3" customWidth="1"/>
    <col min="11026" max="11026" width="8.5703125" style="3" customWidth="1"/>
    <col min="11027" max="11027" width="12.42578125" style="3" customWidth="1"/>
    <col min="11028" max="11028" width="12.42578125" style="3" bestFit="1" customWidth="1"/>
    <col min="11029" max="11029" width="12.140625" style="3" customWidth="1"/>
    <col min="11030" max="11030" width="8.5703125" style="3" customWidth="1"/>
    <col min="11031" max="11031" width="12.42578125" style="3" customWidth="1"/>
    <col min="11032" max="11032" width="12.42578125" style="3" bestFit="1" customWidth="1"/>
    <col min="11033" max="11033" width="12.140625" style="3" customWidth="1"/>
    <col min="11034" max="11034" width="8.5703125" style="3" customWidth="1"/>
    <col min="11035" max="11035" width="12.42578125" style="3" customWidth="1"/>
    <col min="11036" max="11036" width="12.42578125" style="3" bestFit="1" customWidth="1"/>
    <col min="11037" max="11037" width="12.140625" style="3" customWidth="1"/>
    <col min="11038" max="11038" width="8.5703125" style="3" customWidth="1"/>
    <col min="11039" max="11039" width="12.42578125" style="3" customWidth="1"/>
    <col min="11040" max="11040" width="12.42578125" style="3" bestFit="1" customWidth="1"/>
    <col min="11041" max="11041" width="12.140625" style="3" customWidth="1"/>
    <col min="11042" max="11042" width="8.5703125" style="3" customWidth="1"/>
    <col min="11043" max="11043" width="12.42578125" style="3" customWidth="1"/>
    <col min="11044" max="11044" width="12.42578125" style="3" bestFit="1" customWidth="1"/>
    <col min="11045" max="11045" width="12.140625" style="3" customWidth="1"/>
    <col min="11046" max="11046" width="8.5703125" style="3" customWidth="1"/>
    <col min="11047" max="11047" width="12.42578125" style="3" customWidth="1"/>
    <col min="11048" max="11048" width="12.42578125" style="3" bestFit="1" customWidth="1"/>
    <col min="11049" max="11049" width="12.140625" style="3" customWidth="1"/>
    <col min="11050" max="11050" width="8.5703125" style="3" customWidth="1"/>
    <col min="11051" max="11051" width="12.42578125" style="3" customWidth="1"/>
    <col min="11052" max="11052" width="12.42578125" style="3" bestFit="1" customWidth="1"/>
    <col min="11053" max="11053" width="12.140625" style="3" customWidth="1"/>
    <col min="11054" max="11054" width="8.5703125" style="3" customWidth="1"/>
    <col min="11055" max="11055" width="12.42578125" style="3" customWidth="1"/>
    <col min="11056" max="11056" width="12.42578125" style="3" bestFit="1" customWidth="1"/>
    <col min="11057" max="11057" width="12.140625" style="3" customWidth="1"/>
    <col min="11058" max="11058" width="8.5703125" style="3" customWidth="1"/>
    <col min="11059" max="11059" width="12.42578125" style="3" customWidth="1"/>
    <col min="11060" max="11060" width="14.28515625" style="3" customWidth="1"/>
    <col min="11061" max="11063" width="12.42578125" style="3" customWidth="1"/>
    <col min="11064" max="11064" width="17.85546875" style="3" customWidth="1"/>
    <col min="11065" max="11065" width="17.5703125" style="3" customWidth="1"/>
    <col min="11066" max="11066" width="14.28515625" style="3" customWidth="1"/>
    <col min="11067" max="11067" width="10.28515625" style="3" customWidth="1"/>
    <col min="11068" max="11206" width="8.85546875" style="3" customWidth="1"/>
    <col min="11207" max="11207" width="3.28515625" style="3" customWidth="1"/>
    <col min="11208" max="11208" width="4.7109375" style="3" customWidth="1"/>
    <col min="11209" max="11209" width="16.7109375" style="3" customWidth="1"/>
    <col min="11210" max="11241" width="8.85546875" style="3" customWidth="1"/>
    <col min="11242" max="11242" width="12" style="3" customWidth="1"/>
    <col min="11243" max="11244" width="8.85546875" style="3" customWidth="1"/>
    <col min="11245" max="11245" width="10.42578125" style="3" customWidth="1"/>
    <col min="11246" max="11246" width="12.85546875" style="3" customWidth="1"/>
    <col min="11247" max="11247" width="9.28515625" style="3" bestFit="1" customWidth="1"/>
    <col min="11248" max="11248" width="8.85546875" style="3" customWidth="1"/>
    <col min="11249" max="11249" width="11.7109375" style="3" customWidth="1"/>
    <col min="11250" max="11250" width="12.140625" style="3" customWidth="1"/>
    <col min="11251" max="11251" width="9.28515625" style="3" bestFit="1" customWidth="1"/>
    <col min="11252" max="11252" width="8.85546875" style="3" customWidth="1"/>
    <col min="11253" max="11254" width="11.7109375" style="3" customWidth="1"/>
    <col min="11255" max="11255" width="9.28515625" style="3" bestFit="1" customWidth="1"/>
    <col min="11256" max="11256" width="8.85546875" style="3" customWidth="1"/>
    <col min="11257" max="11257" width="11.85546875" style="3" bestFit="1" customWidth="1"/>
    <col min="11258" max="11259" width="8.85546875" style="3" customWidth="1"/>
    <col min="11260" max="11260" width="12.28515625" style="3" bestFit="1" customWidth="1"/>
    <col min="11261" max="11261" width="10.85546875" style="3" customWidth="1"/>
    <col min="11262" max="11262" width="9.7109375" style="3" customWidth="1"/>
    <col min="11263" max="11263" width="13.28515625" style="3" customWidth="1"/>
    <col min="11264" max="11264" width="9.5703125" style="3"/>
    <col min="11265" max="11265" width="3.28515625" style="3" customWidth="1"/>
    <col min="11266" max="11266" width="11.28515625" style="3" bestFit="1" customWidth="1"/>
    <col min="11267" max="11267" width="20.5703125" style="3" customWidth="1"/>
    <col min="11268" max="11268" width="13.5703125" style="3" customWidth="1"/>
    <col min="11269" max="11269" width="12.140625" style="3" customWidth="1"/>
    <col min="11270" max="11270" width="8.5703125" style="3" customWidth="1"/>
    <col min="11271" max="11271" width="12.42578125" style="3" customWidth="1"/>
    <col min="11272" max="11272" width="12.42578125" style="3" bestFit="1" customWidth="1"/>
    <col min="11273" max="11273" width="12.140625" style="3" customWidth="1"/>
    <col min="11274" max="11274" width="8.5703125" style="3" customWidth="1"/>
    <col min="11275" max="11275" width="12.42578125" style="3" customWidth="1"/>
    <col min="11276" max="11276" width="12.42578125" style="3" bestFit="1" customWidth="1"/>
    <col min="11277" max="11277" width="12.140625" style="3" customWidth="1"/>
    <col min="11278" max="11278" width="8.5703125" style="3" customWidth="1"/>
    <col min="11279" max="11279" width="12.42578125" style="3" customWidth="1"/>
    <col min="11280" max="11280" width="12.42578125" style="3" bestFit="1" customWidth="1"/>
    <col min="11281" max="11281" width="12.140625" style="3" customWidth="1"/>
    <col min="11282" max="11282" width="8.5703125" style="3" customWidth="1"/>
    <col min="11283" max="11283" width="12.42578125" style="3" customWidth="1"/>
    <col min="11284" max="11284" width="12.42578125" style="3" bestFit="1" customWidth="1"/>
    <col min="11285" max="11285" width="12.140625" style="3" customWidth="1"/>
    <col min="11286" max="11286" width="8.5703125" style="3" customWidth="1"/>
    <col min="11287" max="11287" width="12.42578125" style="3" customWidth="1"/>
    <col min="11288" max="11288" width="12.42578125" style="3" bestFit="1" customWidth="1"/>
    <col min="11289" max="11289" width="12.140625" style="3" customWidth="1"/>
    <col min="11290" max="11290" width="8.5703125" style="3" customWidth="1"/>
    <col min="11291" max="11291" width="12.42578125" style="3" customWidth="1"/>
    <col min="11292" max="11292" width="12.42578125" style="3" bestFit="1" customWidth="1"/>
    <col min="11293" max="11293" width="12.140625" style="3" customWidth="1"/>
    <col min="11294" max="11294" width="8.5703125" style="3" customWidth="1"/>
    <col min="11295" max="11295" width="12.42578125" style="3" customWidth="1"/>
    <col min="11296" max="11296" width="12.42578125" style="3" bestFit="1" customWidth="1"/>
    <col min="11297" max="11297" width="12.140625" style="3" customWidth="1"/>
    <col min="11298" max="11298" width="8.5703125" style="3" customWidth="1"/>
    <col min="11299" max="11299" width="12.42578125" style="3" customWidth="1"/>
    <col min="11300" max="11300" width="12.42578125" style="3" bestFit="1" customWidth="1"/>
    <col min="11301" max="11301" width="12.140625" style="3" customWidth="1"/>
    <col min="11302" max="11302" width="8.5703125" style="3" customWidth="1"/>
    <col min="11303" max="11303" width="12.42578125" style="3" customWidth="1"/>
    <col min="11304" max="11304" width="12.42578125" style="3" bestFit="1" customWidth="1"/>
    <col min="11305" max="11305" width="12.140625" style="3" customWidth="1"/>
    <col min="11306" max="11306" width="8.5703125" style="3" customWidth="1"/>
    <col min="11307" max="11307" width="12.42578125" style="3" customWidth="1"/>
    <col min="11308" max="11308" width="12.42578125" style="3" bestFit="1" customWidth="1"/>
    <col min="11309" max="11309" width="12.140625" style="3" customWidth="1"/>
    <col min="11310" max="11310" width="8.5703125" style="3" customWidth="1"/>
    <col min="11311" max="11311" width="12.42578125" style="3" customWidth="1"/>
    <col min="11312" max="11312" width="12.42578125" style="3" bestFit="1" customWidth="1"/>
    <col min="11313" max="11313" width="12.140625" style="3" customWidth="1"/>
    <col min="11314" max="11314" width="8.5703125" style="3" customWidth="1"/>
    <col min="11315" max="11315" width="12.42578125" style="3" customWidth="1"/>
    <col min="11316" max="11316" width="14.28515625" style="3" customWidth="1"/>
    <col min="11317" max="11319" width="12.42578125" style="3" customWidth="1"/>
    <col min="11320" max="11320" width="17.85546875" style="3" customWidth="1"/>
    <col min="11321" max="11321" width="17.5703125" style="3" customWidth="1"/>
    <col min="11322" max="11322" width="14.28515625" style="3" customWidth="1"/>
    <col min="11323" max="11323" width="10.28515625" style="3" customWidth="1"/>
    <col min="11324" max="11462" width="8.85546875" style="3" customWidth="1"/>
    <col min="11463" max="11463" width="3.28515625" style="3" customWidth="1"/>
    <col min="11464" max="11464" width="4.7109375" style="3" customWidth="1"/>
    <col min="11465" max="11465" width="16.7109375" style="3" customWidth="1"/>
    <col min="11466" max="11497" width="8.85546875" style="3" customWidth="1"/>
    <col min="11498" max="11498" width="12" style="3" customWidth="1"/>
    <col min="11499" max="11500" width="8.85546875" style="3" customWidth="1"/>
    <col min="11501" max="11501" width="10.42578125" style="3" customWidth="1"/>
    <col min="11502" max="11502" width="12.85546875" style="3" customWidth="1"/>
    <col min="11503" max="11503" width="9.28515625" style="3" bestFit="1" customWidth="1"/>
    <col min="11504" max="11504" width="8.85546875" style="3" customWidth="1"/>
    <col min="11505" max="11505" width="11.7109375" style="3" customWidth="1"/>
    <col min="11506" max="11506" width="12.140625" style="3" customWidth="1"/>
    <col min="11507" max="11507" width="9.28515625" style="3" bestFit="1" customWidth="1"/>
    <col min="11508" max="11508" width="8.85546875" style="3" customWidth="1"/>
    <col min="11509" max="11510" width="11.7109375" style="3" customWidth="1"/>
    <col min="11511" max="11511" width="9.28515625" style="3" bestFit="1" customWidth="1"/>
    <col min="11512" max="11512" width="8.85546875" style="3" customWidth="1"/>
    <col min="11513" max="11513" width="11.85546875" style="3" bestFit="1" customWidth="1"/>
    <col min="11514" max="11515" width="8.85546875" style="3" customWidth="1"/>
    <col min="11516" max="11516" width="12.28515625" style="3" bestFit="1" customWidth="1"/>
    <col min="11517" max="11517" width="10.85546875" style="3" customWidth="1"/>
    <col min="11518" max="11518" width="9.7109375" style="3" customWidth="1"/>
    <col min="11519" max="11519" width="13.28515625" style="3" customWidth="1"/>
    <col min="11520" max="11520" width="9.5703125" style="3"/>
    <col min="11521" max="11521" width="3.28515625" style="3" customWidth="1"/>
    <col min="11522" max="11522" width="11.28515625" style="3" bestFit="1" customWidth="1"/>
    <col min="11523" max="11523" width="20.5703125" style="3" customWidth="1"/>
    <col min="11524" max="11524" width="13.5703125" style="3" customWidth="1"/>
    <col min="11525" max="11525" width="12.140625" style="3" customWidth="1"/>
    <col min="11526" max="11526" width="8.5703125" style="3" customWidth="1"/>
    <col min="11527" max="11527" width="12.42578125" style="3" customWidth="1"/>
    <col min="11528" max="11528" width="12.42578125" style="3" bestFit="1" customWidth="1"/>
    <col min="11529" max="11529" width="12.140625" style="3" customWidth="1"/>
    <col min="11530" max="11530" width="8.5703125" style="3" customWidth="1"/>
    <col min="11531" max="11531" width="12.42578125" style="3" customWidth="1"/>
    <col min="11532" max="11532" width="12.42578125" style="3" bestFit="1" customWidth="1"/>
    <col min="11533" max="11533" width="12.140625" style="3" customWidth="1"/>
    <col min="11534" max="11534" width="8.5703125" style="3" customWidth="1"/>
    <col min="11535" max="11535" width="12.42578125" style="3" customWidth="1"/>
    <col min="11536" max="11536" width="12.42578125" style="3" bestFit="1" customWidth="1"/>
    <col min="11537" max="11537" width="12.140625" style="3" customWidth="1"/>
    <col min="11538" max="11538" width="8.5703125" style="3" customWidth="1"/>
    <col min="11539" max="11539" width="12.42578125" style="3" customWidth="1"/>
    <col min="11540" max="11540" width="12.42578125" style="3" bestFit="1" customWidth="1"/>
    <col min="11541" max="11541" width="12.140625" style="3" customWidth="1"/>
    <col min="11542" max="11542" width="8.5703125" style="3" customWidth="1"/>
    <col min="11543" max="11543" width="12.42578125" style="3" customWidth="1"/>
    <col min="11544" max="11544" width="12.42578125" style="3" bestFit="1" customWidth="1"/>
    <col min="11545" max="11545" width="12.140625" style="3" customWidth="1"/>
    <col min="11546" max="11546" width="8.5703125" style="3" customWidth="1"/>
    <col min="11547" max="11547" width="12.42578125" style="3" customWidth="1"/>
    <col min="11548" max="11548" width="12.42578125" style="3" bestFit="1" customWidth="1"/>
    <col min="11549" max="11549" width="12.140625" style="3" customWidth="1"/>
    <col min="11550" max="11550" width="8.5703125" style="3" customWidth="1"/>
    <col min="11551" max="11551" width="12.42578125" style="3" customWidth="1"/>
    <col min="11552" max="11552" width="12.42578125" style="3" bestFit="1" customWidth="1"/>
    <col min="11553" max="11553" width="12.140625" style="3" customWidth="1"/>
    <col min="11554" max="11554" width="8.5703125" style="3" customWidth="1"/>
    <col min="11555" max="11555" width="12.42578125" style="3" customWidth="1"/>
    <col min="11556" max="11556" width="12.42578125" style="3" bestFit="1" customWidth="1"/>
    <col min="11557" max="11557" width="12.140625" style="3" customWidth="1"/>
    <col min="11558" max="11558" width="8.5703125" style="3" customWidth="1"/>
    <col min="11559" max="11559" width="12.42578125" style="3" customWidth="1"/>
    <col min="11560" max="11560" width="12.42578125" style="3" bestFit="1" customWidth="1"/>
    <col min="11561" max="11561" width="12.140625" style="3" customWidth="1"/>
    <col min="11562" max="11562" width="8.5703125" style="3" customWidth="1"/>
    <col min="11563" max="11563" width="12.42578125" style="3" customWidth="1"/>
    <col min="11564" max="11564" width="12.42578125" style="3" bestFit="1" customWidth="1"/>
    <col min="11565" max="11565" width="12.140625" style="3" customWidth="1"/>
    <col min="11566" max="11566" width="8.5703125" style="3" customWidth="1"/>
    <col min="11567" max="11567" width="12.42578125" style="3" customWidth="1"/>
    <col min="11568" max="11568" width="12.42578125" style="3" bestFit="1" customWidth="1"/>
    <col min="11569" max="11569" width="12.140625" style="3" customWidth="1"/>
    <col min="11570" max="11570" width="8.5703125" style="3" customWidth="1"/>
    <col min="11571" max="11571" width="12.42578125" style="3" customWidth="1"/>
    <col min="11572" max="11572" width="14.28515625" style="3" customWidth="1"/>
    <col min="11573" max="11575" width="12.42578125" style="3" customWidth="1"/>
    <col min="11576" max="11576" width="17.85546875" style="3" customWidth="1"/>
    <col min="11577" max="11577" width="17.5703125" style="3" customWidth="1"/>
    <col min="11578" max="11578" width="14.28515625" style="3" customWidth="1"/>
    <col min="11579" max="11579" width="10.28515625" style="3" customWidth="1"/>
    <col min="11580" max="11718" width="8.85546875" style="3" customWidth="1"/>
    <col min="11719" max="11719" width="3.28515625" style="3" customWidth="1"/>
    <col min="11720" max="11720" width="4.7109375" style="3" customWidth="1"/>
    <col min="11721" max="11721" width="16.7109375" style="3" customWidth="1"/>
    <col min="11722" max="11753" width="8.85546875" style="3" customWidth="1"/>
    <col min="11754" max="11754" width="12" style="3" customWidth="1"/>
    <col min="11755" max="11756" width="8.85546875" style="3" customWidth="1"/>
    <col min="11757" max="11757" width="10.42578125" style="3" customWidth="1"/>
    <col min="11758" max="11758" width="12.85546875" style="3" customWidth="1"/>
    <col min="11759" max="11759" width="9.28515625" style="3" bestFit="1" customWidth="1"/>
    <col min="11760" max="11760" width="8.85546875" style="3" customWidth="1"/>
    <col min="11761" max="11761" width="11.7109375" style="3" customWidth="1"/>
    <col min="11762" max="11762" width="12.140625" style="3" customWidth="1"/>
    <col min="11763" max="11763" width="9.28515625" style="3" bestFit="1" customWidth="1"/>
    <col min="11764" max="11764" width="8.85546875" style="3" customWidth="1"/>
    <col min="11765" max="11766" width="11.7109375" style="3" customWidth="1"/>
    <col min="11767" max="11767" width="9.28515625" style="3" bestFit="1" customWidth="1"/>
    <col min="11768" max="11768" width="8.85546875" style="3" customWidth="1"/>
    <col min="11769" max="11769" width="11.85546875" style="3" bestFit="1" customWidth="1"/>
    <col min="11770" max="11771" width="8.85546875" style="3" customWidth="1"/>
    <col min="11772" max="11772" width="12.28515625" style="3" bestFit="1" customWidth="1"/>
    <col min="11773" max="11773" width="10.85546875" style="3" customWidth="1"/>
    <col min="11774" max="11774" width="9.7109375" style="3" customWidth="1"/>
    <col min="11775" max="11775" width="13.28515625" style="3" customWidth="1"/>
    <col min="11776" max="11776" width="9.5703125" style="3"/>
    <col min="11777" max="11777" width="3.28515625" style="3" customWidth="1"/>
    <col min="11778" max="11778" width="11.28515625" style="3" bestFit="1" customWidth="1"/>
    <col min="11779" max="11779" width="20.5703125" style="3" customWidth="1"/>
    <col min="11780" max="11780" width="13.5703125" style="3" customWidth="1"/>
    <col min="11781" max="11781" width="12.140625" style="3" customWidth="1"/>
    <col min="11782" max="11782" width="8.5703125" style="3" customWidth="1"/>
    <col min="11783" max="11783" width="12.42578125" style="3" customWidth="1"/>
    <col min="11784" max="11784" width="12.42578125" style="3" bestFit="1" customWidth="1"/>
    <col min="11785" max="11785" width="12.140625" style="3" customWidth="1"/>
    <col min="11786" max="11786" width="8.5703125" style="3" customWidth="1"/>
    <col min="11787" max="11787" width="12.42578125" style="3" customWidth="1"/>
    <col min="11788" max="11788" width="12.42578125" style="3" bestFit="1" customWidth="1"/>
    <col min="11789" max="11789" width="12.140625" style="3" customWidth="1"/>
    <col min="11790" max="11790" width="8.5703125" style="3" customWidth="1"/>
    <col min="11791" max="11791" width="12.42578125" style="3" customWidth="1"/>
    <col min="11792" max="11792" width="12.42578125" style="3" bestFit="1" customWidth="1"/>
    <col min="11793" max="11793" width="12.140625" style="3" customWidth="1"/>
    <col min="11794" max="11794" width="8.5703125" style="3" customWidth="1"/>
    <col min="11795" max="11795" width="12.42578125" style="3" customWidth="1"/>
    <col min="11796" max="11796" width="12.42578125" style="3" bestFit="1" customWidth="1"/>
    <col min="11797" max="11797" width="12.140625" style="3" customWidth="1"/>
    <col min="11798" max="11798" width="8.5703125" style="3" customWidth="1"/>
    <col min="11799" max="11799" width="12.42578125" style="3" customWidth="1"/>
    <col min="11800" max="11800" width="12.42578125" style="3" bestFit="1" customWidth="1"/>
    <col min="11801" max="11801" width="12.140625" style="3" customWidth="1"/>
    <col min="11802" max="11802" width="8.5703125" style="3" customWidth="1"/>
    <col min="11803" max="11803" width="12.42578125" style="3" customWidth="1"/>
    <col min="11804" max="11804" width="12.42578125" style="3" bestFit="1" customWidth="1"/>
    <col min="11805" max="11805" width="12.140625" style="3" customWidth="1"/>
    <col min="11806" max="11806" width="8.5703125" style="3" customWidth="1"/>
    <col min="11807" max="11807" width="12.42578125" style="3" customWidth="1"/>
    <col min="11808" max="11808" width="12.42578125" style="3" bestFit="1" customWidth="1"/>
    <col min="11809" max="11809" width="12.140625" style="3" customWidth="1"/>
    <col min="11810" max="11810" width="8.5703125" style="3" customWidth="1"/>
    <col min="11811" max="11811" width="12.42578125" style="3" customWidth="1"/>
    <col min="11812" max="11812" width="12.42578125" style="3" bestFit="1" customWidth="1"/>
    <col min="11813" max="11813" width="12.140625" style="3" customWidth="1"/>
    <col min="11814" max="11814" width="8.5703125" style="3" customWidth="1"/>
    <col min="11815" max="11815" width="12.42578125" style="3" customWidth="1"/>
    <col min="11816" max="11816" width="12.42578125" style="3" bestFit="1" customWidth="1"/>
    <col min="11817" max="11817" width="12.140625" style="3" customWidth="1"/>
    <col min="11818" max="11818" width="8.5703125" style="3" customWidth="1"/>
    <col min="11819" max="11819" width="12.42578125" style="3" customWidth="1"/>
    <col min="11820" max="11820" width="12.42578125" style="3" bestFit="1" customWidth="1"/>
    <col min="11821" max="11821" width="12.140625" style="3" customWidth="1"/>
    <col min="11822" max="11822" width="8.5703125" style="3" customWidth="1"/>
    <col min="11823" max="11823" width="12.42578125" style="3" customWidth="1"/>
    <col min="11824" max="11824" width="12.42578125" style="3" bestFit="1" customWidth="1"/>
    <col min="11825" max="11825" width="12.140625" style="3" customWidth="1"/>
    <col min="11826" max="11826" width="8.5703125" style="3" customWidth="1"/>
    <col min="11827" max="11827" width="12.42578125" style="3" customWidth="1"/>
    <col min="11828" max="11828" width="14.28515625" style="3" customWidth="1"/>
    <col min="11829" max="11831" width="12.42578125" style="3" customWidth="1"/>
    <col min="11832" max="11832" width="17.85546875" style="3" customWidth="1"/>
    <col min="11833" max="11833" width="17.5703125" style="3" customWidth="1"/>
    <col min="11834" max="11834" width="14.28515625" style="3" customWidth="1"/>
    <col min="11835" max="11835" width="10.28515625" style="3" customWidth="1"/>
    <col min="11836" max="11974" width="8.85546875" style="3" customWidth="1"/>
    <col min="11975" max="11975" width="3.28515625" style="3" customWidth="1"/>
    <col min="11976" max="11976" width="4.7109375" style="3" customWidth="1"/>
    <col min="11977" max="11977" width="16.7109375" style="3" customWidth="1"/>
    <col min="11978" max="12009" width="8.85546875" style="3" customWidth="1"/>
    <col min="12010" max="12010" width="12" style="3" customWidth="1"/>
    <col min="12011" max="12012" width="8.85546875" style="3" customWidth="1"/>
    <col min="12013" max="12013" width="10.42578125" style="3" customWidth="1"/>
    <col min="12014" max="12014" width="12.85546875" style="3" customWidth="1"/>
    <col min="12015" max="12015" width="9.28515625" style="3" bestFit="1" customWidth="1"/>
    <col min="12016" max="12016" width="8.85546875" style="3" customWidth="1"/>
    <col min="12017" max="12017" width="11.7109375" style="3" customWidth="1"/>
    <col min="12018" max="12018" width="12.140625" style="3" customWidth="1"/>
    <col min="12019" max="12019" width="9.28515625" style="3" bestFit="1" customWidth="1"/>
    <col min="12020" max="12020" width="8.85546875" style="3" customWidth="1"/>
    <col min="12021" max="12022" width="11.7109375" style="3" customWidth="1"/>
    <col min="12023" max="12023" width="9.28515625" style="3" bestFit="1" customWidth="1"/>
    <col min="12024" max="12024" width="8.85546875" style="3" customWidth="1"/>
    <col min="12025" max="12025" width="11.85546875" style="3" bestFit="1" customWidth="1"/>
    <col min="12026" max="12027" width="8.85546875" style="3" customWidth="1"/>
    <col min="12028" max="12028" width="12.28515625" style="3" bestFit="1" customWidth="1"/>
    <col min="12029" max="12029" width="10.85546875" style="3" customWidth="1"/>
    <col min="12030" max="12030" width="9.7109375" style="3" customWidth="1"/>
    <col min="12031" max="12031" width="13.28515625" style="3" customWidth="1"/>
    <col min="12032" max="12032" width="9.5703125" style="3"/>
    <col min="12033" max="12033" width="3.28515625" style="3" customWidth="1"/>
    <col min="12034" max="12034" width="11.28515625" style="3" bestFit="1" customWidth="1"/>
    <col min="12035" max="12035" width="20.5703125" style="3" customWidth="1"/>
    <col min="12036" max="12036" width="13.5703125" style="3" customWidth="1"/>
    <col min="12037" max="12037" width="12.140625" style="3" customWidth="1"/>
    <col min="12038" max="12038" width="8.5703125" style="3" customWidth="1"/>
    <col min="12039" max="12039" width="12.42578125" style="3" customWidth="1"/>
    <col min="12040" max="12040" width="12.42578125" style="3" bestFit="1" customWidth="1"/>
    <col min="12041" max="12041" width="12.140625" style="3" customWidth="1"/>
    <col min="12042" max="12042" width="8.5703125" style="3" customWidth="1"/>
    <col min="12043" max="12043" width="12.42578125" style="3" customWidth="1"/>
    <col min="12044" max="12044" width="12.42578125" style="3" bestFit="1" customWidth="1"/>
    <col min="12045" max="12045" width="12.140625" style="3" customWidth="1"/>
    <col min="12046" max="12046" width="8.5703125" style="3" customWidth="1"/>
    <col min="12047" max="12047" width="12.42578125" style="3" customWidth="1"/>
    <col min="12048" max="12048" width="12.42578125" style="3" bestFit="1" customWidth="1"/>
    <col min="12049" max="12049" width="12.140625" style="3" customWidth="1"/>
    <col min="12050" max="12050" width="8.5703125" style="3" customWidth="1"/>
    <col min="12051" max="12051" width="12.42578125" style="3" customWidth="1"/>
    <col min="12052" max="12052" width="12.42578125" style="3" bestFit="1" customWidth="1"/>
    <col min="12053" max="12053" width="12.140625" style="3" customWidth="1"/>
    <col min="12054" max="12054" width="8.5703125" style="3" customWidth="1"/>
    <col min="12055" max="12055" width="12.42578125" style="3" customWidth="1"/>
    <col min="12056" max="12056" width="12.42578125" style="3" bestFit="1" customWidth="1"/>
    <col min="12057" max="12057" width="12.140625" style="3" customWidth="1"/>
    <col min="12058" max="12058" width="8.5703125" style="3" customWidth="1"/>
    <col min="12059" max="12059" width="12.42578125" style="3" customWidth="1"/>
    <col min="12060" max="12060" width="12.42578125" style="3" bestFit="1" customWidth="1"/>
    <col min="12061" max="12061" width="12.140625" style="3" customWidth="1"/>
    <col min="12062" max="12062" width="8.5703125" style="3" customWidth="1"/>
    <col min="12063" max="12063" width="12.42578125" style="3" customWidth="1"/>
    <col min="12064" max="12064" width="12.42578125" style="3" bestFit="1" customWidth="1"/>
    <col min="12065" max="12065" width="12.140625" style="3" customWidth="1"/>
    <col min="12066" max="12066" width="8.5703125" style="3" customWidth="1"/>
    <col min="12067" max="12067" width="12.42578125" style="3" customWidth="1"/>
    <col min="12068" max="12068" width="12.42578125" style="3" bestFit="1" customWidth="1"/>
    <col min="12069" max="12069" width="12.140625" style="3" customWidth="1"/>
    <col min="12070" max="12070" width="8.5703125" style="3" customWidth="1"/>
    <col min="12071" max="12071" width="12.42578125" style="3" customWidth="1"/>
    <col min="12072" max="12072" width="12.42578125" style="3" bestFit="1" customWidth="1"/>
    <col min="12073" max="12073" width="12.140625" style="3" customWidth="1"/>
    <col min="12074" max="12074" width="8.5703125" style="3" customWidth="1"/>
    <col min="12075" max="12075" width="12.42578125" style="3" customWidth="1"/>
    <col min="12076" max="12076" width="12.42578125" style="3" bestFit="1" customWidth="1"/>
    <col min="12077" max="12077" width="12.140625" style="3" customWidth="1"/>
    <col min="12078" max="12078" width="8.5703125" style="3" customWidth="1"/>
    <col min="12079" max="12079" width="12.42578125" style="3" customWidth="1"/>
    <col min="12080" max="12080" width="12.42578125" style="3" bestFit="1" customWidth="1"/>
    <col min="12081" max="12081" width="12.140625" style="3" customWidth="1"/>
    <col min="12082" max="12082" width="8.5703125" style="3" customWidth="1"/>
    <col min="12083" max="12083" width="12.42578125" style="3" customWidth="1"/>
    <col min="12084" max="12084" width="14.28515625" style="3" customWidth="1"/>
    <col min="12085" max="12087" width="12.42578125" style="3" customWidth="1"/>
    <col min="12088" max="12088" width="17.85546875" style="3" customWidth="1"/>
    <col min="12089" max="12089" width="17.5703125" style="3" customWidth="1"/>
    <col min="12090" max="12090" width="14.28515625" style="3" customWidth="1"/>
    <col min="12091" max="12091" width="10.28515625" style="3" customWidth="1"/>
    <col min="12092" max="12230" width="8.85546875" style="3" customWidth="1"/>
    <col min="12231" max="12231" width="3.28515625" style="3" customWidth="1"/>
    <col min="12232" max="12232" width="4.7109375" style="3" customWidth="1"/>
    <col min="12233" max="12233" width="16.7109375" style="3" customWidth="1"/>
    <col min="12234" max="12265" width="8.85546875" style="3" customWidth="1"/>
    <col min="12266" max="12266" width="12" style="3" customWidth="1"/>
    <col min="12267" max="12268" width="8.85546875" style="3" customWidth="1"/>
    <col min="12269" max="12269" width="10.42578125" style="3" customWidth="1"/>
    <col min="12270" max="12270" width="12.85546875" style="3" customWidth="1"/>
    <col min="12271" max="12271" width="9.28515625" style="3" bestFit="1" customWidth="1"/>
    <col min="12272" max="12272" width="8.85546875" style="3" customWidth="1"/>
    <col min="12273" max="12273" width="11.7109375" style="3" customWidth="1"/>
    <col min="12274" max="12274" width="12.140625" style="3" customWidth="1"/>
    <col min="12275" max="12275" width="9.28515625" style="3" bestFit="1" customWidth="1"/>
    <col min="12276" max="12276" width="8.85546875" style="3" customWidth="1"/>
    <col min="12277" max="12278" width="11.7109375" style="3" customWidth="1"/>
    <col min="12279" max="12279" width="9.28515625" style="3" bestFit="1" customWidth="1"/>
    <col min="12280" max="12280" width="8.85546875" style="3" customWidth="1"/>
    <col min="12281" max="12281" width="11.85546875" style="3" bestFit="1" customWidth="1"/>
    <col min="12282" max="12283" width="8.85546875" style="3" customWidth="1"/>
    <col min="12284" max="12284" width="12.28515625" style="3" bestFit="1" customWidth="1"/>
    <col min="12285" max="12285" width="10.85546875" style="3" customWidth="1"/>
    <col min="12286" max="12286" width="9.7109375" style="3" customWidth="1"/>
    <col min="12287" max="12287" width="13.28515625" style="3" customWidth="1"/>
    <col min="12288" max="12288" width="9.5703125" style="3"/>
    <col min="12289" max="12289" width="3.28515625" style="3" customWidth="1"/>
    <col min="12290" max="12290" width="11.28515625" style="3" bestFit="1" customWidth="1"/>
    <col min="12291" max="12291" width="20.5703125" style="3" customWidth="1"/>
    <col min="12292" max="12292" width="13.5703125" style="3" customWidth="1"/>
    <col min="12293" max="12293" width="12.140625" style="3" customWidth="1"/>
    <col min="12294" max="12294" width="8.5703125" style="3" customWidth="1"/>
    <col min="12295" max="12295" width="12.42578125" style="3" customWidth="1"/>
    <col min="12296" max="12296" width="12.42578125" style="3" bestFit="1" customWidth="1"/>
    <col min="12297" max="12297" width="12.140625" style="3" customWidth="1"/>
    <col min="12298" max="12298" width="8.5703125" style="3" customWidth="1"/>
    <col min="12299" max="12299" width="12.42578125" style="3" customWidth="1"/>
    <col min="12300" max="12300" width="12.42578125" style="3" bestFit="1" customWidth="1"/>
    <col min="12301" max="12301" width="12.140625" style="3" customWidth="1"/>
    <col min="12302" max="12302" width="8.5703125" style="3" customWidth="1"/>
    <col min="12303" max="12303" width="12.42578125" style="3" customWidth="1"/>
    <col min="12304" max="12304" width="12.42578125" style="3" bestFit="1" customWidth="1"/>
    <col min="12305" max="12305" width="12.140625" style="3" customWidth="1"/>
    <col min="12306" max="12306" width="8.5703125" style="3" customWidth="1"/>
    <col min="12307" max="12307" width="12.42578125" style="3" customWidth="1"/>
    <col min="12308" max="12308" width="12.42578125" style="3" bestFit="1" customWidth="1"/>
    <col min="12309" max="12309" width="12.140625" style="3" customWidth="1"/>
    <col min="12310" max="12310" width="8.5703125" style="3" customWidth="1"/>
    <col min="12311" max="12311" width="12.42578125" style="3" customWidth="1"/>
    <col min="12312" max="12312" width="12.42578125" style="3" bestFit="1" customWidth="1"/>
    <col min="12313" max="12313" width="12.140625" style="3" customWidth="1"/>
    <col min="12314" max="12314" width="8.5703125" style="3" customWidth="1"/>
    <col min="12315" max="12315" width="12.42578125" style="3" customWidth="1"/>
    <col min="12316" max="12316" width="12.42578125" style="3" bestFit="1" customWidth="1"/>
    <col min="12317" max="12317" width="12.140625" style="3" customWidth="1"/>
    <col min="12318" max="12318" width="8.5703125" style="3" customWidth="1"/>
    <col min="12319" max="12319" width="12.42578125" style="3" customWidth="1"/>
    <col min="12320" max="12320" width="12.42578125" style="3" bestFit="1" customWidth="1"/>
    <col min="12321" max="12321" width="12.140625" style="3" customWidth="1"/>
    <col min="12322" max="12322" width="8.5703125" style="3" customWidth="1"/>
    <col min="12323" max="12323" width="12.42578125" style="3" customWidth="1"/>
    <col min="12324" max="12324" width="12.42578125" style="3" bestFit="1" customWidth="1"/>
    <col min="12325" max="12325" width="12.140625" style="3" customWidth="1"/>
    <col min="12326" max="12326" width="8.5703125" style="3" customWidth="1"/>
    <col min="12327" max="12327" width="12.42578125" style="3" customWidth="1"/>
    <col min="12328" max="12328" width="12.42578125" style="3" bestFit="1" customWidth="1"/>
    <col min="12329" max="12329" width="12.140625" style="3" customWidth="1"/>
    <col min="12330" max="12330" width="8.5703125" style="3" customWidth="1"/>
    <col min="12331" max="12331" width="12.42578125" style="3" customWidth="1"/>
    <col min="12332" max="12332" width="12.42578125" style="3" bestFit="1" customWidth="1"/>
    <col min="12333" max="12333" width="12.140625" style="3" customWidth="1"/>
    <col min="12334" max="12334" width="8.5703125" style="3" customWidth="1"/>
    <col min="12335" max="12335" width="12.42578125" style="3" customWidth="1"/>
    <col min="12336" max="12336" width="12.42578125" style="3" bestFit="1" customWidth="1"/>
    <col min="12337" max="12337" width="12.140625" style="3" customWidth="1"/>
    <col min="12338" max="12338" width="8.5703125" style="3" customWidth="1"/>
    <col min="12339" max="12339" width="12.42578125" style="3" customWidth="1"/>
    <col min="12340" max="12340" width="14.28515625" style="3" customWidth="1"/>
    <col min="12341" max="12343" width="12.42578125" style="3" customWidth="1"/>
    <col min="12344" max="12344" width="17.85546875" style="3" customWidth="1"/>
    <col min="12345" max="12345" width="17.5703125" style="3" customWidth="1"/>
    <col min="12346" max="12346" width="14.28515625" style="3" customWidth="1"/>
    <col min="12347" max="12347" width="10.28515625" style="3" customWidth="1"/>
    <col min="12348" max="12486" width="8.85546875" style="3" customWidth="1"/>
    <col min="12487" max="12487" width="3.28515625" style="3" customWidth="1"/>
    <col min="12488" max="12488" width="4.7109375" style="3" customWidth="1"/>
    <col min="12489" max="12489" width="16.7109375" style="3" customWidth="1"/>
    <col min="12490" max="12521" width="8.85546875" style="3" customWidth="1"/>
    <col min="12522" max="12522" width="12" style="3" customWidth="1"/>
    <col min="12523" max="12524" width="8.85546875" style="3" customWidth="1"/>
    <col min="12525" max="12525" width="10.42578125" style="3" customWidth="1"/>
    <col min="12526" max="12526" width="12.85546875" style="3" customWidth="1"/>
    <col min="12527" max="12527" width="9.28515625" style="3" bestFit="1" customWidth="1"/>
    <col min="12528" max="12528" width="8.85546875" style="3" customWidth="1"/>
    <col min="12529" max="12529" width="11.7109375" style="3" customWidth="1"/>
    <col min="12530" max="12530" width="12.140625" style="3" customWidth="1"/>
    <col min="12531" max="12531" width="9.28515625" style="3" bestFit="1" customWidth="1"/>
    <col min="12532" max="12532" width="8.85546875" style="3" customWidth="1"/>
    <col min="12533" max="12534" width="11.7109375" style="3" customWidth="1"/>
    <col min="12535" max="12535" width="9.28515625" style="3" bestFit="1" customWidth="1"/>
    <col min="12536" max="12536" width="8.85546875" style="3" customWidth="1"/>
    <col min="12537" max="12537" width="11.85546875" style="3" bestFit="1" customWidth="1"/>
    <col min="12538" max="12539" width="8.85546875" style="3" customWidth="1"/>
    <col min="12540" max="12540" width="12.28515625" style="3" bestFit="1" customWidth="1"/>
    <col min="12541" max="12541" width="10.85546875" style="3" customWidth="1"/>
    <col min="12542" max="12542" width="9.7109375" style="3" customWidth="1"/>
    <col min="12543" max="12543" width="13.28515625" style="3" customWidth="1"/>
    <col min="12544" max="12544" width="9.5703125" style="3"/>
    <col min="12545" max="12545" width="3.28515625" style="3" customWidth="1"/>
    <col min="12546" max="12546" width="11.28515625" style="3" bestFit="1" customWidth="1"/>
    <col min="12547" max="12547" width="20.5703125" style="3" customWidth="1"/>
    <col min="12548" max="12548" width="13.5703125" style="3" customWidth="1"/>
    <col min="12549" max="12549" width="12.140625" style="3" customWidth="1"/>
    <col min="12550" max="12550" width="8.5703125" style="3" customWidth="1"/>
    <col min="12551" max="12551" width="12.42578125" style="3" customWidth="1"/>
    <col min="12552" max="12552" width="12.42578125" style="3" bestFit="1" customWidth="1"/>
    <col min="12553" max="12553" width="12.140625" style="3" customWidth="1"/>
    <col min="12554" max="12554" width="8.5703125" style="3" customWidth="1"/>
    <col min="12555" max="12555" width="12.42578125" style="3" customWidth="1"/>
    <col min="12556" max="12556" width="12.42578125" style="3" bestFit="1" customWidth="1"/>
    <col min="12557" max="12557" width="12.140625" style="3" customWidth="1"/>
    <col min="12558" max="12558" width="8.5703125" style="3" customWidth="1"/>
    <col min="12559" max="12559" width="12.42578125" style="3" customWidth="1"/>
    <col min="12560" max="12560" width="12.42578125" style="3" bestFit="1" customWidth="1"/>
    <col min="12561" max="12561" width="12.140625" style="3" customWidth="1"/>
    <col min="12562" max="12562" width="8.5703125" style="3" customWidth="1"/>
    <col min="12563" max="12563" width="12.42578125" style="3" customWidth="1"/>
    <col min="12564" max="12564" width="12.42578125" style="3" bestFit="1" customWidth="1"/>
    <col min="12565" max="12565" width="12.140625" style="3" customWidth="1"/>
    <col min="12566" max="12566" width="8.5703125" style="3" customWidth="1"/>
    <col min="12567" max="12567" width="12.42578125" style="3" customWidth="1"/>
    <col min="12568" max="12568" width="12.42578125" style="3" bestFit="1" customWidth="1"/>
    <col min="12569" max="12569" width="12.140625" style="3" customWidth="1"/>
    <col min="12570" max="12570" width="8.5703125" style="3" customWidth="1"/>
    <col min="12571" max="12571" width="12.42578125" style="3" customWidth="1"/>
    <col min="12572" max="12572" width="12.42578125" style="3" bestFit="1" customWidth="1"/>
    <col min="12573" max="12573" width="12.140625" style="3" customWidth="1"/>
    <col min="12574" max="12574" width="8.5703125" style="3" customWidth="1"/>
    <col min="12575" max="12575" width="12.42578125" style="3" customWidth="1"/>
    <col min="12576" max="12576" width="12.42578125" style="3" bestFit="1" customWidth="1"/>
    <col min="12577" max="12577" width="12.140625" style="3" customWidth="1"/>
    <col min="12578" max="12578" width="8.5703125" style="3" customWidth="1"/>
    <col min="12579" max="12579" width="12.42578125" style="3" customWidth="1"/>
    <col min="12580" max="12580" width="12.42578125" style="3" bestFit="1" customWidth="1"/>
    <col min="12581" max="12581" width="12.140625" style="3" customWidth="1"/>
    <col min="12582" max="12582" width="8.5703125" style="3" customWidth="1"/>
    <col min="12583" max="12583" width="12.42578125" style="3" customWidth="1"/>
    <col min="12584" max="12584" width="12.42578125" style="3" bestFit="1" customWidth="1"/>
    <col min="12585" max="12585" width="12.140625" style="3" customWidth="1"/>
    <col min="12586" max="12586" width="8.5703125" style="3" customWidth="1"/>
    <col min="12587" max="12587" width="12.42578125" style="3" customWidth="1"/>
    <col min="12588" max="12588" width="12.42578125" style="3" bestFit="1" customWidth="1"/>
    <col min="12589" max="12589" width="12.140625" style="3" customWidth="1"/>
    <col min="12590" max="12590" width="8.5703125" style="3" customWidth="1"/>
    <col min="12591" max="12591" width="12.42578125" style="3" customWidth="1"/>
    <col min="12592" max="12592" width="12.42578125" style="3" bestFit="1" customWidth="1"/>
    <col min="12593" max="12593" width="12.140625" style="3" customWidth="1"/>
    <col min="12594" max="12594" width="8.5703125" style="3" customWidth="1"/>
    <col min="12595" max="12595" width="12.42578125" style="3" customWidth="1"/>
    <col min="12596" max="12596" width="14.28515625" style="3" customWidth="1"/>
    <col min="12597" max="12599" width="12.42578125" style="3" customWidth="1"/>
    <col min="12600" max="12600" width="17.85546875" style="3" customWidth="1"/>
    <col min="12601" max="12601" width="17.5703125" style="3" customWidth="1"/>
    <col min="12602" max="12602" width="14.28515625" style="3" customWidth="1"/>
    <col min="12603" max="12603" width="10.28515625" style="3" customWidth="1"/>
    <col min="12604" max="12742" width="8.85546875" style="3" customWidth="1"/>
    <col min="12743" max="12743" width="3.28515625" style="3" customWidth="1"/>
    <col min="12744" max="12744" width="4.7109375" style="3" customWidth="1"/>
    <col min="12745" max="12745" width="16.7109375" style="3" customWidth="1"/>
    <col min="12746" max="12777" width="8.85546875" style="3" customWidth="1"/>
    <col min="12778" max="12778" width="12" style="3" customWidth="1"/>
    <col min="12779" max="12780" width="8.85546875" style="3" customWidth="1"/>
    <col min="12781" max="12781" width="10.42578125" style="3" customWidth="1"/>
    <col min="12782" max="12782" width="12.85546875" style="3" customWidth="1"/>
    <col min="12783" max="12783" width="9.28515625" style="3" bestFit="1" customWidth="1"/>
    <col min="12784" max="12784" width="8.85546875" style="3" customWidth="1"/>
    <col min="12785" max="12785" width="11.7109375" style="3" customWidth="1"/>
    <col min="12786" max="12786" width="12.140625" style="3" customWidth="1"/>
    <col min="12787" max="12787" width="9.28515625" style="3" bestFit="1" customWidth="1"/>
    <col min="12788" max="12788" width="8.85546875" style="3" customWidth="1"/>
    <col min="12789" max="12790" width="11.7109375" style="3" customWidth="1"/>
    <col min="12791" max="12791" width="9.28515625" style="3" bestFit="1" customWidth="1"/>
    <col min="12792" max="12792" width="8.85546875" style="3" customWidth="1"/>
    <col min="12793" max="12793" width="11.85546875" style="3" bestFit="1" customWidth="1"/>
    <col min="12794" max="12795" width="8.85546875" style="3" customWidth="1"/>
    <col min="12796" max="12796" width="12.28515625" style="3" bestFit="1" customWidth="1"/>
    <col min="12797" max="12797" width="10.85546875" style="3" customWidth="1"/>
    <col min="12798" max="12798" width="9.7109375" style="3" customWidth="1"/>
    <col min="12799" max="12799" width="13.28515625" style="3" customWidth="1"/>
    <col min="12800" max="12800" width="9.5703125" style="3"/>
    <col min="12801" max="12801" width="3.28515625" style="3" customWidth="1"/>
    <col min="12802" max="12802" width="11.28515625" style="3" bestFit="1" customWidth="1"/>
    <col min="12803" max="12803" width="20.5703125" style="3" customWidth="1"/>
    <col min="12804" max="12804" width="13.5703125" style="3" customWidth="1"/>
    <col min="12805" max="12805" width="12.140625" style="3" customWidth="1"/>
    <col min="12806" max="12806" width="8.5703125" style="3" customWidth="1"/>
    <col min="12807" max="12807" width="12.42578125" style="3" customWidth="1"/>
    <col min="12808" max="12808" width="12.42578125" style="3" bestFit="1" customWidth="1"/>
    <col min="12809" max="12809" width="12.140625" style="3" customWidth="1"/>
    <col min="12810" max="12810" width="8.5703125" style="3" customWidth="1"/>
    <col min="12811" max="12811" width="12.42578125" style="3" customWidth="1"/>
    <col min="12812" max="12812" width="12.42578125" style="3" bestFit="1" customWidth="1"/>
    <col min="12813" max="12813" width="12.140625" style="3" customWidth="1"/>
    <col min="12814" max="12814" width="8.5703125" style="3" customWidth="1"/>
    <col min="12815" max="12815" width="12.42578125" style="3" customWidth="1"/>
    <col min="12816" max="12816" width="12.42578125" style="3" bestFit="1" customWidth="1"/>
    <col min="12817" max="12817" width="12.140625" style="3" customWidth="1"/>
    <col min="12818" max="12818" width="8.5703125" style="3" customWidth="1"/>
    <col min="12819" max="12819" width="12.42578125" style="3" customWidth="1"/>
    <col min="12820" max="12820" width="12.42578125" style="3" bestFit="1" customWidth="1"/>
    <col min="12821" max="12821" width="12.140625" style="3" customWidth="1"/>
    <col min="12822" max="12822" width="8.5703125" style="3" customWidth="1"/>
    <col min="12823" max="12823" width="12.42578125" style="3" customWidth="1"/>
    <col min="12824" max="12824" width="12.42578125" style="3" bestFit="1" customWidth="1"/>
    <col min="12825" max="12825" width="12.140625" style="3" customWidth="1"/>
    <col min="12826" max="12826" width="8.5703125" style="3" customWidth="1"/>
    <col min="12827" max="12827" width="12.42578125" style="3" customWidth="1"/>
    <col min="12828" max="12828" width="12.42578125" style="3" bestFit="1" customWidth="1"/>
    <col min="12829" max="12829" width="12.140625" style="3" customWidth="1"/>
    <col min="12830" max="12830" width="8.5703125" style="3" customWidth="1"/>
    <col min="12831" max="12831" width="12.42578125" style="3" customWidth="1"/>
    <col min="12832" max="12832" width="12.42578125" style="3" bestFit="1" customWidth="1"/>
    <col min="12833" max="12833" width="12.140625" style="3" customWidth="1"/>
    <col min="12834" max="12834" width="8.5703125" style="3" customWidth="1"/>
    <col min="12835" max="12835" width="12.42578125" style="3" customWidth="1"/>
    <col min="12836" max="12836" width="12.42578125" style="3" bestFit="1" customWidth="1"/>
    <col min="12837" max="12837" width="12.140625" style="3" customWidth="1"/>
    <col min="12838" max="12838" width="8.5703125" style="3" customWidth="1"/>
    <col min="12839" max="12839" width="12.42578125" style="3" customWidth="1"/>
    <col min="12840" max="12840" width="12.42578125" style="3" bestFit="1" customWidth="1"/>
    <col min="12841" max="12841" width="12.140625" style="3" customWidth="1"/>
    <col min="12842" max="12842" width="8.5703125" style="3" customWidth="1"/>
    <col min="12843" max="12843" width="12.42578125" style="3" customWidth="1"/>
    <col min="12844" max="12844" width="12.42578125" style="3" bestFit="1" customWidth="1"/>
    <col min="12845" max="12845" width="12.140625" style="3" customWidth="1"/>
    <col min="12846" max="12846" width="8.5703125" style="3" customWidth="1"/>
    <col min="12847" max="12847" width="12.42578125" style="3" customWidth="1"/>
    <col min="12848" max="12848" width="12.42578125" style="3" bestFit="1" customWidth="1"/>
    <col min="12849" max="12849" width="12.140625" style="3" customWidth="1"/>
    <col min="12850" max="12850" width="8.5703125" style="3" customWidth="1"/>
    <col min="12851" max="12851" width="12.42578125" style="3" customWidth="1"/>
    <col min="12852" max="12852" width="14.28515625" style="3" customWidth="1"/>
    <col min="12853" max="12855" width="12.42578125" style="3" customWidth="1"/>
    <col min="12856" max="12856" width="17.85546875" style="3" customWidth="1"/>
    <col min="12857" max="12857" width="17.5703125" style="3" customWidth="1"/>
    <col min="12858" max="12858" width="14.28515625" style="3" customWidth="1"/>
    <col min="12859" max="12859" width="10.28515625" style="3" customWidth="1"/>
    <col min="12860" max="12998" width="8.85546875" style="3" customWidth="1"/>
    <col min="12999" max="12999" width="3.28515625" style="3" customWidth="1"/>
    <col min="13000" max="13000" width="4.7109375" style="3" customWidth="1"/>
    <col min="13001" max="13001" width="16.7109375" style="3" customWidth="1"/>
    <col min="13002" max="13033" width="8.85546875" style="3" customWidth="1"/>
    <col min="13034" max="13034" width="12" style="3" customWidth="1"/>
    <col min="13035" max="13036" width="8.85546875" style="3" customWidth="1"/>
    <col min="13037" max="13037" width="10.42578125" style="3" customWidth="1"/>
    <col min="13038" max="13038" width="12.85546875" style="3" customWidth="1"/>
    <col min="13039" max="13039" width="9.28515625" style="3" bestFit="1" customWidth="1"/>
    <col min="13040" max="13040" width="8.85546875" style="3" customWidth="1"/>
    <col min="13041" max="13041" width="11.7109375" style="3" customWidth="1"/>
    <col min="13042" max="13042" width="12.140625" style="3" customWidth="1"/>
    <col min="13043" max="13043" width="9.28515625" style="3" bestFit="1" customWidth="1"/>
    <col min="13044" max="13044" width="8.85546875" style="3" customWidth="1"/>
    <col min="13045" max="13046" width="11.7109375" style="3" customWidth="1"/>
    <col min="13047" max="13047" width="9.28515625" style="3" bestFit="1" customWidth="1"/>
    <col min="13048" max="13048" width="8.85546875" style="3" customWidth="1"/>
    <col min="13049" max="13049" width="11.85546875" style="3" bestFit="1" customWidth="1"/>
    <col min="13050" max="13051" width="8.85546875" style="3" customWidth="1"/>
    <col min="13052" max="13052" width="12.28515625" style="3" bestFit="1" customWidth="1"/>
    <col min="13053" max="13053" width="10.85546875" style="3" customWidth="1"/>
    <col min="13054" max="13054" width="9.7109375" style="3" customWidth="1"/>
    <col min="13055" max="13055" width="13.28515625" style="3" customWidth="1"/>
    <col min="13056" max="13056" width="9.5703125" style="3"/>
    <col min="13057" max="13057" width="3.28515625" style="3" customWidth="1"/>
    <col min="13058" max="13058" width="11.28515625" style="3" bestFit="1" customWidth="1"/>
    <col min="13059" max="13059" width="20.5703125" style="3" customWidth="1"/>
    <col min="13060" max="13060" width="13.5703125" style="3" customWidth="1"/>
    <col min="13061" max="13061" width="12.140625" style="3" customWidth="1"/>
    <col min="13062" max="13062" width="8.5703125" style="3" customWidth="1"/>
    <col min="13063" max="13063" width="12.42578125" style="3" customWidth="1"/>
    <col min="13064" max="13064" width="12.42578125" style="3" bestFit="1" customWidth="1"/>
    <col min="13065" max="13065" width="12.140625" style="3" customWidth="1"/>
    <col min="13066" max="13066" width="8.5703125" style="3" customWidth="1"/>
    <col min="13067" max="13067" width="12.42578125" style="3" customWidth="1"/>
    <col min="13068" max="13068" width="12.42578125" style="3" bestFit="1" customWidth="1"/>
    <col min="13069" max="13069" width="12.140625" style="3" customWidth="1"/>
    <col min="13070" max="13070" width="8.5703125" style="3" customWidth="1"/>
    <col min="13071" max="13071" width="12.42578125" style="3" customWidth="1"/>
    <col min="13072" max="13072" width="12.42578125" style="3" bestFit="1" customWidth="1"/>
    <col min="13073" max="13073" width="12.140625" style="3" customWidth="1"/>
    <col min="13074" max="13074" width="8.5703125" style="3" customWidth="1"/>
    <col min="13075" max="13075" width="12.42578125" style="3" customWidth="1"/>
    <col min="13076" max="13076" width="12.42578125" style="3" bestFit="1" customWidth="1"/>
    <col min="13077" max="13077" width="12.140625" style="3" customWidth="1"/>
    <col min="13078" max="13078" width="8.5703125" style="3" customWidth="1"/>
    <col min="13079" max="13079" width="12.42578125" style="3" customWidth="1"/>
    <col min="13080" max="13080" width="12.42578125" style="3" bestFit="1" customWidth="1"/>
    <col min="13081" max="13081" width="12.140625" style="3" customWidth="1"/>
    <col min="13082" max="13082" width="8.5703125" style="3" customWidth="1"/>
    <col min="13083" max="13083" width="12.42578125" style="3" customWidth="1"/>
    <col min="13084" max="13084" width="12.42578125" style="3" bestFit="1" customWidth="1"/>
    <col min="13085" max="13085" width="12.140625" style="3" customWidth="1"/>
    <col min="13086" max="13086" width="8.5703125" style="3" customWidth="1"/>
    <col min="13087" max="13087" width="12.42578125" style="3" customWidth="1"/>
    <col min="13088" max="13088" width="12.42578125" style="3" bestFit="1" customWidth="1"/>
    <col min="13089" max="13089" width="12.140625" style="3" customWidth="1"/>
    <col min="13090" max="13090" width="8.5703125" style="3" customWidth="1"/>
    <col min="13091" max="13091" width="12.42578125" style="3" customWidth="1"/>
    <col min="13092" max="13092" width="12.42578125" style="3" bestFit="1" customWidth="1"/>
    <col min="13093" max="13093" width="12.140625" style="3" customWidth="1"/>
    <col min="13094" max="13094" width="8.5703125" style="3" customWidth="1"/>
    <col min="13095" max="13095" width="12.42578125" style="3" customWidth="1"/>
    <col min="13096" max="13096" width="12.42578125" style="3" bestFit="1" customWidth="1"/>
    <col min="13097" max="13097" width="12.140625" style="3" customWidth="1"/>
    <col min="13098" max="13098" width="8.5703125" style="3" customWidth="1"/>
    <col min="13099" max="13099" width="12.42578125" style="3" customWidth="1"/>
    <col min="13100" max="13100" width="12.42578125" style="3" bestFit="1" customWidth="1"/>
    <col min="13101" max="13101" width="12.140625" style="3" customWidth="1"/>
    <col min="13102" max="13102" width="8.5703125" style="3" customWidth="1"/>
    <col min="13103" max="13103" width="12.42578125" style="3" customWidth="1"/>
    <col min="13104" max="13104" width="12.42578125" style="3" bestFit="1" customWidth="1"/>
    <col min="13105" max="13105" width="12.140625" style="3" customWidth="1"/>
    <col min="13106" max="13106" width="8.5703125" style="3" customWidth="1"/>
    <col min="13107" max="13107" width="12.42578125" style="3" customWidth="1"/>
    <col min="13108" max="13108" width="14.28515625" style="3" customWidth="1"/>
    <col min="13109" max="13111" width="12.42578125" style="3" customWidth="1"/>
    <col min="13112" max="13112" width="17.85546875" style="3" customWidth="1"/>
    <col min="13113" max="13113" width="17.5703125" style="3" customWidth="1"/>
    <col min="13114" max="13114" width="14.28515625" style="3" customWidth="1"/>
    <col min="13115" max="13115" width="10.28515625" style="3" customWidth="1"/>
    <col min="13116" max="13254" width="8.85546875" style="3" customWidth="1"/>
    <col min="13255" max="13255" width="3.28515625" style="3" customWidth="1"/>
    <col min="13256" max="13256" width="4.7109375" style="3" customWidth="1"/>
    <col min="13257" max="13257" width="16.7109375" style="3" customWidth="1"/>
    <col min="13258" max="13289" width="8.85546875" style="3" customWidth="1"/>
    <col min="13290" max="13290" width="12" style="3" customWidth="1"/>
    <col min="13291" max="13292" width="8.85546875" style="3" customWidth="1"/>
    <col min="13293" max="13293" width="10.42578125" style="3" customWidth="1"/>
    <col min="13294" max="13294" width="12.85546875" style="3" customWidth="1"/>
    <col min="13295" max="13295" width="9.28515625" style="3" bestFit="1" customWidth="1"/>
    <col min="13296" max="13296" width="8.85546875" style="3" customWidth="1"/>
    <col min="13297" max="13297" width="11.7109375" style="3" customWidth="1"/>
    <col min="13298" max="13298" width="12.140625" style="3" customWidth="1"/>
    <col min="13299" max="13299" width="9.28515625" style="3" bestFit="1" customWidth="1"/>
    <col min="13300" max="13300" width="8.85546875" style="3" customWidth="1"/>
    <col min="13301" max="13302" width="11.7109375" style="3" customWidth="1"/>
    <col min="13303" max="13303" width="9.28515625" style="3" bestFit="1" customWidth="1"/>
    <col min="13304" max="13304" width="8.85546875" style="3" customWidth="1"/>
    <col min="13305" max="13305" width="11.85546875" style="3" bestFit="1" customWidth="1"/>
    <col min="13306" max="13307" width="8.85546875" style="3" customWidth="1"/>
    <col min="13308" max="13308" width="12.28515625" style="3" bestFit="1" customWidth="1"/>
    <col min="13309" max="13309" width="10.85546875" style="3" customWidth="1"/>
    <col min="13310" max="13310" width="9.7109375" style="3" customWidth="1"/>
    <col min="13311" max="13311" width="13.28515625" style="3" customWidth="1"/>
    <col min="13312" max="13312" width="9.5703125" style="3"/>
    <col min="13313" max="13313" width="3.28515625" style="3" customWidth="1"/>
    <col min="13314" max="13314" width="11.28515625" style="3" bestFit="1" customWidth="1"/>
    <col min="13315" max="13315" width="20.5703125" style="3" customWidth="1"/>
    <col min="13316" max="13316" width="13.5703125" style="3" customWidth="1"/>
    <col min="13317" max="13317" width="12.140625" style="3" customWidth="1"/>
    <col min="13318" max="13318" width="8.5703125" style="3" customWidth="1"/>
    <col min="13319" max="13319" width="12.42578125" style="3" customWidth="1"/>
    <col min="13320" max="13320" width="12.42578125" style="3" bestFit="1" customWidth="1"/>
    <col min="13321" max="13321" width="12.140625" style="3" customWidth="1"/>
    <col min="13322" max="13322" width="8.5703125" style="3" customWidth="1"/>
    <col min="13323" max="13323" width="12.42578125" style="3" customWidth="1"/>
    <col min="13324" max="13324" width="12.42578125" style="3" bestFit="1" customWidth="1"/>
    <col min="13325" max="13325" width="12.140625" style="3" customWidth="1"/>
    <col min="13326" max="13326" width="8.5703125" style="3" customWidth="1"/>
    <col min="13327" max="13327" width="12.42578125" style="3" customWidth="1"/>
    <col min="13328" max="13328" width="12.42578125" style="3" bestFit="1" customWidth="1"/>
    <col min="13329" max="13329" width="12.140625" style="3" customWidth="1"/>
    <col min="13330" max="13330" width="8.5703125" style="3" customWidth="1"/>
    <col min="13331" max="13331" width="12.42578125" style="3" customWidth="1"/>
    <col min="13332" max="13332" width="12.42578125" style="3" bestFit="1" customWidth="1"/>
    <col min="13333" max="13333" width="12.140625" style="3" customWidth="1"/>
    <col min="13334" max="13334" width="8.5703125" style="3" customWidth="1"/>
    <col min="13335" max="13335" width="12.42578125" style="3" customWidth="1"/>
    <col min="13336" max="13336" width="12.42578125" style="3" bestFit="1" customWidth="1"/>
    <col min="13337" max="13337" width="12.140625" style="3" customWidth="1"/>
    <col min="13338" max="13338" width="8.5703125" style="3" customWidth="1"/>
    <col min="13339" max="13339" width="12.42578125" style="3" customWidth="1"/>
    <col min="13340" max="13340" width="12.42578125" style="3" bestFit="1" customWidth="1"/>
    <col min="13341" max="13341" width="12.140625" style="3" customWidth="1"/>
    <col min="13342" max="13342" width="8.5703125" style="3" customWidth="1"/>
    <col min="13343" max="13343" width="12.42578125" style="3" customWidth="1"/>
    <col min="13344" max="13344" width="12.42578125" style="3" bestFit="1" customWidth="1"/>
    <col min="13345" max="13345" width="12.140625" style="3" customWidth="1"/>
    <col min="13346" max="13346" width="8.5703125" style="3" customWidth="1"/>
    <col min="13347" max="13347" width="12.42578125" style="3" customWidth="1"/>
    <col min="13348" max="13348" width="12.42578125" style="3" bestFit="1" customWidth="1"/>
    <col min="13349" max="13349" width="12.140625" style="3" customWidth="1"/>
    <col min="13350" max="13350" width="8.5703125" style="3" customWidth="1"/>
    <col min="13351" max="13351" width="12.42578125" style="3" customWidth="1"/>
    <col min="13352" max="13352" width="12.42578125" style="3" bestFit="1" customWidth="1"/>
    <col min="13353" max="13353" width="12.140625" style="3" customWidth="1"/>
    <col min="13354" max="13354" width="8.5703125" style="3" customWidth="1"/>
    <col min="13355" max="13355" width="12.42578125" style="3" customWidth="1"/>
    <col min="13356" max="13356" width="12.42578125" style="3" bestFit="1" customWidth="1"/>
    <col min="13357" max="13357" width="12.140625" style="3" customWidth="1"/>
    <col min="13358" max="13358" width="8.5703125" style="3" customWidth="1"/>
    <col min="13359" max="13359" width="12.42578125" style="3" customWidth="1"/>
    <col min="13360" max="13360" width="12.42578125" style="3" bestFit="1" customWidth="1"/>
    <col min="13361" max="13361" width="12.140625" style="3" customWidth="1"/>
    <col min="13362" max="13362" width="8.5703125" style="3" customWidth="1"/>
    <col min="13363" max="13363" width="12.42578125" style="3" customWidth="1"/>
    <col min="13364" max="13364" width="14.28515625" style="3" customWidth="1"/>
    <col min="13365" max="13367" width="12.42578125" style="3" customWidth="1"/>
    <col min="13368" max="13368" width="17.85546875" style="3" customWidth="1"/>
    <col min="13369" max="13369" width="17.5703125" style="3" customWidth="1"/>
    <col min="13370" max="13370" width="14.28515625" style="3" customWidth="1"/>
    <col min="13371" max="13371" width="10.28515625" style="3" customWidth="1"/>
    <col min="13372" max="13510" width="8.85546875" style="3" customWidth="1"/>
    <col min="13511" max="13511" width="3.28515625" style="3" customWidth="1"/>
    <col min="13512" max="13512" width="4.7109375" style="3" customWidth="1"/>
    <col min="13513" max="13513" width="16.7109375" style="3" customWidth="1"/>
    <col min="13514" max="13545" width="8.85546875" style="3" customWidth="1"/>
    <col min="13546" max="13546" width="12" style="3" customWidth="1"/>
    <col min="13547" max="13548" width="8.85546875" style="3" customWidth="1"/>
    <col min="13549" max="13549" width="10.42578125" style="3" customWidth="1"/>
    <col min="13550" max="13550" width="12.85546875" style="3" customWidth="1"/>
    <col min="13551" max="13551" width="9.28515625" style="3" bestFit="1" customWidth="1"/>
    <col min="13552" max="13552" width="8.85546875" style="3" customWidth="1"/>
    <col min="13553" max="13553" width="11.7109375" style="3" customWidth="1"/>
    <col min="13554" max="13554" width="12.140625" style="3" customWidth="1"/>
    <col min="13555" max="13555" width="9.28515625" style="3" bestFit="1" customWidth="1"/>
    <col min="13556" max="13556" width="8.85546875" style="3" customWidth="1"/>
    <col min="13557" max="13558" width="11.7109375" style="3" customWidth="1"/>
    <col min="13559" max="13559" width="9.28515625" style="3" bestFit="1" customWidth="1"/>
    <col min="13560" max="13560" width="8.85546875" style="3" customWidth="1"/>
    <col min="13561" max="13561" width="11.85546875" style="3" bestFit="1" customWidth="1"/>
    <col min="13562" max="13563" width="8.85546875" style="3" customWidth="1"/>
    <col min="13564" max="13564" width="12.28515625" style="3" bestFit="1" customWidth="1"/>
    <col min="13565" max="13565" width="10.85546875" style="3" customWidth="1"/>
    <col min="13566" max="13566" width="9.7109375" style="3" customWidth="1"/>
    <col min="13567" max="13567" width="13.28515625" style="3" customWidth="1"/>
    <col min="13568" max="13568" width="9.5703125" style="3"/>
    <col min="13569" max="13569" width="3.28515625" style="3" customWidth="1"/>
    <col min="13570" max="13570" width="11.28515625" style="3" bestFit="1" customWidth="1"/>
    <col min="13571" max="13571" width="20.5703125" style="3" customWidth="1"/>
    <col min="13572" max="13572" width="13.5703125" style="3" customWidth="1"/>
    <col min="13573" max="13573" width="12.140625" style="3" customWidth="1"/>
    <col min="13574" max="13574" width="8.5703125" style="3" customWidth="1"/>
    <col min="13575" max="13575" width="12.42578125" style="3" customWidth="1"/>
    <col min="13576" max="13576" width="12.42578125" style="3" bestFit="1" customWidth="1"/>
    <col min="13577" max="13577" width="12.140625" style="3" customWidth="1"/>
    <col min="13578" max="13578" width="8.5703125" style="3" customWidth="1"/>
    <col min="13579" max="13579" width="12.42578125" style="3" customWidth="1"/>
    <col min="13580" max="13580" width="12.42578125" style="3" bestFit="1" customWidth="1"/>
    <col min="13581" max="13581" width="12.140625" style="3" customWidth="1"/>
    <col min="13582" max="13582" width="8.5703125" style="3" customWidth="1"/>
    <col min="13583" max="13583" width="12.42578125" style="3" customWidth="1"/>
    <col min="13584" max="13584" width="12.42578125" style="3" bestFit="1" customWidth="1"/>
    <col min="13585" max="13585" width="12.140625" style="3" customWidth="1"/>
    <col min="13586" max="13586" width="8.5703125" style="3" customWidth="1"/>
    <col min="13587" max="13587" width="12.42578125" style="3" customWidth="1"/>
    <col min="13588" max="13588" width="12.42578125" style="3" bestFit="1" customWidth="1"/>
    <col min="13589" max="13589" width="12.140625" style="3" customWidth="1"/>
    <col min="13590" max="13590" width="8.5703125" style="3" customWidth="1"/>
    <col min="13591" max="13591" width="12.42578125" style="3" customWidth="1"/>
    <col min="13592" max="13592" width="12.42578125" style="3" bestFit="1" customWidth="1"/>
    <col min="13593" max="13593" width="12.140625" style="3" customWidth="1"/>
    <col min="13594" max="13594" width="8.5703125" style="3" customWidth="1"/>
    <col min="13595" max="13595" width="12.42578125" style="3" customWidth="1"/>
    <col min="13596" max="13596" width="12.42578125" style="3" bestFit="1" customWidth="1"/>
    <col min="13597" max="13597" width="12.140625" style="3" customWidth="1"/>
    <col min="13598" max="13598" width="8.5703125" style="3" customWidth="1"/>
    <col min="13599" max="13599" width="12.42578125" style="3" customWidth="1"/>
    <col min="13600" max="13600" width="12.42578125" style="3" bestFit="1" customWidth="1"/>
    <col min="13601" max="13601" width="12.140625" style="3" customWidth="1"/>
    <col min="13602" max="13602" width="8.5703125" style="3" customWidth="1"/>
    <col min="13603" max="13603" width="12.42578125" style="3" customWidth="1"/>
    <col min="13604" max="13604" width="12.42578125" style="3" bestFit="1" customWidth="1"/>
    <col min="13605" max="13605" width="12.140625" style="3" customWidth="1"/>
    <col min="13606" max="13606" width="8.5703125" style="3" customWidth="1"/>
    <col min="13607" max="13607" width="12.42578125" style="3" customWidth="1"/>
    <col min="13608" max="13608" width="12.42578125" style="3" bestFit="1" customWidth="1"/>
    <col min="13609" max="13609" width="12.140625" style="3" customWidth="1"/>
    <col min="13610" max="13610" width="8.5703125" style="3" customWidth="1"/>
    <col min="13611" max="13611" width="12.42578125" style="3" customWidth="1"/>
    <col min="13612" max="13612" width="12.42578125" style="3" bestFit="1" customWidth="1"/>
    <col min="13613" max="13613" width="12.140625" style="3" customWidth="1"/>
    <col min="13614" max="13614" width="8.5703125" style="3" customWidth="1"/>
    <col min="13615" max="13615" width="12.42578125" style="3" customWidth="1"/>
    <col min="13616" max="13616" width="12.42578125" style="3" bestFit="1" customWidth="1"/>
    <col min="13617" max="13617" width="12.140625" style="3" customWidth="1"/>
    <col min="13618" max="13618" width="8.5703125" style="3" customWidth="1"/>
    <col min="13619" max="13619" width="12.42578125" style="3" customWidth="1"/>
    <col min="13620" max="13620" width="14.28515625" style="3" customWidth="1"/>
    <col min="13621" max="13623" width="12.42578125" style="3" customWidth="1"/>
    <col min="13624" max="13624" width="17.85546875" style="3" customWidth="1"/>
    <col min="13625" max="13625" width="17.5703125" style="3" customWidth="1"/>
    <col min="13626" max="13626" width="14.28515625" style="3" customWidth="1"/>
    <col min="13627" max="13627" width="10.28515625" style="3" customWidth="1"/>
    <col min="13628" max="13766" width="8.85546875" style="3" customWidth="1"/>
    <col min="13767" max="13767" width="3.28515625" style="3" customWidth="1"/>
    <col min="13768" max="13768" width="4.7109375" style="3" customWidth="1"/>
    <col min="13769" max="13769" width="16.7109375" style="3" customWidth="1"/>
    <col min="13770" max="13801" width="8.85546875" style="3" customWidth="1"/>
    <col min="13802" max="13802" width="12" style="3" customWidth="1"/>
    <col min="13803" max="13804" width="8.85546875" style="3" customWidth="1"/>
    <col min="13805" max="13805" width="10.42578125" style="3" customWidth="1"/>
    <col min="13806" max="13806" width="12.85546875" style="3" customWidth="1"/>
    <col min="13807" max="13807" width="9.28515625" style="3" bestFit="1" customWidth="1"/>
    <col min="13808" max="13808" width="8.85546875" style="3" customWidth="1"/>
    <col min="13809" max="13809" width="11.7109375" style="3" customWidth="1"/>
    <col min="13810" max="13810" width="12.140625" style="3" customWidth="1"/>
    <col min="13811" max="13811" width="9.28515625" style="3" bestFit="1" customWidth="1"/>
    <col min="13812" max="13812" width="8.85546875" style="3" customWidth="1"/>
    <col min="13813" max="13814" width="11.7109375" style="3" customWidth="1"/>
    <col min="13815" max="13815" width="9.28515625" style="3" bestFit="1" customWidth="1"/>
    <col min="13816" max="13816" width="8.85546875" style="3" customWidth="1"/>
    <col min="13817" max="13817" width="11.85546875" style="3" bestFit="1" customWidth="1"/>
    <col min="13818" max="13819" width="8.85546875" style="3" customWidth="1"/>
    <col min="13820" max="13820" width="12.28515625" style="3" bestFit="1" customWidth="1"/>
    <col min="13821" max="13821" width="10.85546875" style="3" customWidth="1"/>
    <col min="13822" max="13822" width="9.7109375" style="3" customWidth="1"/>
    <col min="13823" max="13823" width="13.28515625" style="3" customWidth="1"/>
    <col min="13824" max="13824" width="9.5703125" style="3"/>
    <col min="13825" max="13825" width="3.28515625" style="3" customWidth="1"/>
    <col min="13826" max="13826" width="11.28515625" style="3" bestFit="1" customWidth="1"/>
    <col min="13827" max="13827" width="20.5703125" style="3" customWidth="1"/>
    <col min="13828" max="13828" width="13.5703125" style="3" customWidth="1"/>
    <col min="13829" max="13829" width="12.140625" style="3" customWidth="1"/>
    <col min="13830" max="13830" width="8.5703125" style="3" customWidth="1"/>
    <col min="13831" max="13831" width="12.42578125" style="3" customWidth="1"/>
    <col min="13832" max="13832" width="12.42578125" style="3" bestFit="1" customWidth="1"/>
    <col min="13833" max="13833" width="12.140625" style="3" customWidth="1"/>
    <col min="13834" max="13834" width="8.5703125" style="3" customWidth="1"/>
    <col min="13835" max="13835" width="12.42578125" style="3" customWidth="1"/>
    <col min="13836" max="13836" width="12.42578125" style="3" bestFit="1" customWidth="1"/>
    <col min="13837" max="13837" width="12.140625" style="3" customWidth="1"/>
    <col min="13838" max="13838" width="8.5703125" style="3" customWidth="1"/>
    <col min="13839" max="13839" width="12.42578125" style="3" customWidth="1"/>
    <col min="13840" max="13840" width="12.42578125" style="3" bestFit="1" customWidth="1"/>
    <col min="13841" max="13841" width="12.140625" style="3" customWidth="1"/>
    <col min="13842" max="13842" width="8.5703125" style="3" customWidth="1"/>
    <col min="13843" max="13843" width="12.42578125" style="3" customWidth="1"/>
    <col min="13844" max="13844" width="12.42578125" style="3" bestFit="1" customWidth="1"/>
    <col min="13845" max="13845" width="12.140625" style="3" customWidth="1"/>
    <col min="13846" max="13846" width="8.5703125" style="3" customWidth="1"/>
    <col min="13847" max="13847" width="12.42578125" style="3" customWidth="1"/>
    <col min="13848" max="13848" width="12.42578125" style="3" bestFit="1" customWidth="1"/>
    <col min="13849" max="13849" width="12.140625" style="3" customWidth="1"/>
    <col min="13850" max="13850" width="8.5703125" style="3" customWidth="1"/>
    <col min="13851" max="13851" width="12.42578125" style="3" customWidth="1"/>
    <col min="13852" max="13852" width="12.42578125" style="3" bestFit="1" customWidth="1"/>
    <col min="13853" max="13853" width="12.140625" style="3" customWidth="1"/>
    <col min="13854" max="13854" width="8.5703125" style="3" customWidth="1"/>
    <col min="13855" max="13855" width="12.42578125" style="3" customWidth="1"/>
    <col min="13856" max="13856" width="12.42578125" style="3" bestFit="1" customWidth="1"/>
    <col min="13857" max="13857" width="12.140625" style="3" customWidth="1"/>
    <col min="13858" max="13858" width="8.5703125" style="3" customWidth="1"/>
    <col min="13859" max="13859" width="12.42578125" style="3" customWidth="1"/>
    <col min="13860" max="13860" width="12.42578125" style="3" bestFit="1" customWidth="1"/>
    <col min="13861" max="13861" width="12.140625" style="3" customWidth="1"/>
    <col min="13862" max="13862" width="8.5703125" style="3" customWidth="1"/>
    <col min="13863" max="13863" width="12.42578125" style="3" customWidth="1"/>
    <col min="13864" max="13864" width="12.42578125" style="3" bestFit="1" customWidth="1"/>
    <col min="13865" max="13865" width="12.140625" style="3" customWidth="1"/>
    <col min="13866" max="13866" width="8.5703125" style="3" customWidth="1"/>
    <col min="13867" max="13867" width="12.42578125" style="3" customWidth="1"/>
    <col min="13868" max="13868" width="12.42578125" style="3" bestFit="1" customWidth="1"/>
    <col min="13869" max="13869" width="12.140625" style="3" customWidth="1"/>
    <col min="13870" max="13870" width="8.5703125" style="3" customWidth="1"/>
    <col min="13871" max="13871" width="12.42578125" style="3" customWidth="1"/>
    <col min="13872" max="13872" width="12.42578125" style="3" bestFit="1" customWidth="1"/>
    <col min="13873" max="13873" width="12.140625" style="3" customWidth="1"/>
    <col min="13874" max="13874" width="8.5703125" style="3" customWidth="1"/>
    <col min="13875" max="13875" width="12.42578125" style="3" customWidth="1"/>
    <col min="13876" max="13876" width="14.28515625" style="3" customWidth="1"/>
    <col min="13877" max="13879" width="12.42578125" style="3" customWidth="1"/>
    <col min="13880" max="13880" width="17.85546875" style="3" customWidth="1"/>
    <col min="13881" max="13881" width="17.5703125" style="3" customWidth="1"/>
    <col min="13882" max="13882" width="14.28515625" style="3" customWidth="1"/>
    <col min="13883" max="13883" width="10.28515625" style="3" customWidth="1"/>
    <col min="13884" max="14022" width="8.85546875" style="3" customWidth="1"/>
    <col min="14023" max="14023" width="3.28515625" style="3" customWidth="1"/>
    <col min="14024" max="14024" width="4.7109375" style="3" customWidth="1"/>
    <col min="14025" max="14025" width="16.7109375" style="3" customWidth="1"/>
    <col min="14026" max="14057" width="8.85546875" style="3" customWidth="1"/>
    <col min="14058" max="14058" width="12" style="3" customWidth="1"/>
    <col min="14059" max="14060" width="8.85546875" style="3" customWidth="1"/>
    <col min="14061" max="14061" width="10.42578125" style="3" customWidth="1"/>
    <col min="14062" max="14062" width="12.85546875" style="3" customWidth="1"/>
    <col min="14063" max="14063" width="9.28515625" style="3" bestFit="1" customWidth="1"/>
    <col min="14064" max="14064" width="8.85546875" style="3" customWidth="1"/>
    <col min="14065" max="14065" width="11.7109375" style="3" customWidth="1"/>
    <col min="14066" max="14066" width="12.140625" style="3" customWidth="1"/>
    <col min="14067" max="14067" width="9.28515625" style="3" bestFit="1" customWidth="1"/>
    <col min="14068" max="14068" width="8.85546875" style="3" customWidth="1"/>
    <col min="14069" max="14070" width="11.7109375" style="3" customWidth="1"/>
    <col min="14071" max="14071" width="9.28515625" style="3" bestFit="1" customWidth="1"/>
    <col min="14072" max="14072" width="8.85546875" style="3" customWidth="1"/>
    <col min="14073" max="14073" width="11.85546875" style="3" bestFit="1" customWidth="1"/>
    <col min="14074" max="14075" width="8.85546875" style="3" customWidth="1"/>
    <col min="14076" max="14076" width="12.28515625" style="3" bestFit="1" customWidth="1"/>
    <col min="14077" max="14077" width="10.85546875" style="3" customWidth="1"/>
    <col min="14078" max="14078" width="9.7109375" style="3" customWidth="1"/>
    <col min="14079" max="14079" width="13.28515625" style="3" customWidth="1"/>
    <col min="14080" max="14080" width="9.5703125" style="3"/>
    <col min="14081" max="14081" width="3.28515625" style="3" customWidth="1"/>
    <col min="14082" max="14082" width="11.28515625" style="3" bestFit="1" customWidth="1"/>
    <col min="14083" max="14083" width="20.5703125" style="3" customWidth="1"/>
    <col min="14084" max="14084" width="13.5703125" style="3" customWidth="1"/>
    <col min="14085" max="14085" width="12.140625" style="3" customWidth="1"/>
    <col min="14086" max="14086" width="8.5703125" style="3" customWidth="1"/>
    <col min="14087" max="14087" width="12.42578125" style="3" customWidth="1"/>
    <col min="14088" max="14088" width="12.42578125" style="3" bestFit="1" customWidth="1"/>
    <col min="14089" max="14089" width="12.140625" style="3" customWidth="1"/>
    <col min="14090" max="14090" width="8.5703125" style="3" customWidth="1"/>
    <col min="14091" max="14091" width="12.42578125" style="3" customWidth="1"/>
    <col min="14092" max="14092" width="12.42578125" style="3" bestFit="1" customWidth="1"/>
    <col min="14093" max="14093" width="12.140625" style="3" customWidth="1"/>
    <col min="14094" max="14094" width="8.5703125" style="3" customWidth="1"/>
    <col min="14095" max="14095" width="12.42578125" style="3" customWidth="1"/>
    <col min="14096" max="14096" width="12.42578125" style="3" bestFit="1" customWidth="1"/>
    <col min="14097" max="14097" width="12.140625" style="3" customWidth="1"/>
    <col min="14098" max="14098" width="8.5703125" style="3" customWidth="1"/>
    <col min="14099" max="14099" width="12.42578125" style="3" customWidth="1"/>
    <col min="14100" max="14100" width="12.42578125" style="3" bestFit="1" customWidth="1"/>
    <col min="14101" max="14101" width="12.140625" style="3" customWidth="1"/>
    <col min="14102" max="14102" width="8.5703125" style="3" customWidth="1"/>
    <col min="14103" max="14103" width="12.42578125" style="3" customWidth="1"/>
    <col min="14104" max="14104" width="12.42578125" style="3" bestFit="1" customWidth="1"/>
    <col min="14105" max="14105" width="12.140625" style="3" customWidth="1"/>
    <col min="14106" max="14106" width="8.5703125" style="3" customWidth="1"/>
    <col min="14107" max="14107" width="12.42578125" style="3" customWidth="1"/>
    <col min="14108" max="14108" width="12.42578125" style="3" bestFit="1" customWidth="1"/>
    <col min="14109" max="14109" width="12.140625" style="3" customWidth="1"/>
    <col min="14110" max="14110" width="8.5703125" style="3" customWidth="1"/>
    <col min="14111" max="14111" width="12.42578125" style="3" customWidth="1"/>
    <col min="14112" max="14112" width="12.42578125" style="3" bestFit="1" customWidth="1"/>
    <col min="14113" max="14113" width="12.140625" style="3" customWidth="1"/>
    <col min="14114" max="14114" width="8.5703125" style="3" customWidth="1"/>
    <col min="14115" max="14115" width="12.42578125" style="3" customWidth="1"/>
    <col min="14116" max="14116" width="12.42578125" style="3" bestFit="1" customWidth="1"/>
    <col min="14117" max="14117" width="12.140625" style="3" customWidth="1"/>
    <col min="14118" max="14118" width="8.5703125" style="3" customWidth="1"/>
    <col min="14119" max="14119" width="12.42578125" style="3" customWidth="1"/>
    <col min="14120" max="14120" width="12.42578125" style="3" bestFit="1" customWidth="1"/>
    <col min="14121" max="14121" width="12.140625" style="3" customWidth="1"/>
    <col min="14122" max="14122" width="8.5703125" style="3" customWidth="1"/>
    <col min="14123" max="14123" width="12.42578125" style="3" customWidth="1"/>
    <col min="14124" max="14124" width="12.42578125" style="3" bestFit="1" customWidth="1"/>
    <col min="14125" max="14125" width="12.140625" style="3" customWidth="1"/>
    <col min="14126" max="14126" width="8.5703125" style="3" customWidth="1"/>
    <col min="14127" max="14127" width="12.42578125" style="3" customWidth="1"/>
    <col min="14128" max="14128" width="12.42578125" style="3" bestFit="1" customWidth="1"/>
    <col min="14129" max="14129" width="12.140625" style="3" customWidth="1"/>
    <col min="14130" max="14130" width="8.5703125" style="3" customWidth="1"/>
    <col min="14131" max="14131" width="12.42578125" style="3" customWidth="1"/>
    <col min="14132" max="14132" width="14.28515625" style="3" customWidth="1"/>
    <col min="14133" max="14135" width="12.42578125" style="3" customWidth="1"/>
    <col min="14136" max="14136" width="17.85546875" style="3" customWidth="1"/>
    <col min="14137" max="14137" width="17.5703125" style="3" customWidth="1"/>
    <col min="14138" max="14138" width="14.28515625" style="3" customWidth="1"/>
    <col min="14139" max="14139" width="10.28515625" style="3" customWidth="1"/>
    <col min="14140" max="14278" width="8.85546875" style="3" customWidth="1"/>
    <col min="14279" max="14279" width="3.28515625" style="3" customWidth="1"/>
    <col min="14280" max="14280" width="4.7109375" style="3" customWidth="1"/>
    <col min="14281" max="14281" width="16.7109375" style="3" customWidth="1"/>
    <col min="14282" max="14313" width="8.85546875" style="3" customWidth="1"/>
    <col min="14314" max="14314" width="12" style="3" customWidth="1"/>
    <col min="14315" max="14316" width="8.85546875" style="3" customWidth="1"/>
    <col min="14317" max="14317" width="10.42578125" style="3" customWidth="1"/>
    <col min="14318" max="14318" width="12.85546875" style="3" customWidth="1"/>
    <col min="14319" max="14319" width="9.28515625" style="3" bestFit="1" customWidth="1"/>
    <col min="14320" max="14320" width="8.85546875" style="3" customWidth="1"/>
    <col min="14321" max="14321" width="11.7109375" style="3" customWidth="1"/>
    <col min="14322" max="14322" width="12.140625" style="3" customWidth="1"/>
    <col min="14323" max="14323" width="9.28515625" style="3" bestFit="1" customWidth="1"/>
    <col min="14324" max="14324" width="8.85546875" style="3" customWidth="1"/>
    <col min="14325" max="14326" width="11.7109375" style="3" customWidth="1"/>
    <col min="14327" max="14327" width="9.28515625" style="3" bestFit="1" customWidth="1"/>
    <col min="14328" max="14328" width="8.85546875" style="3" customWidth="1"/>
    <col min="14329" max="14329" width="11.85546875" style="3" bestFit="1" customWidth="1"/>
    <col min="14330" max="14331" width="8.85546875" style="3" customWidth="1"/>
    <col min="14332" max="14332" width="12.28515625" style="3" bestFit="1" customWidth="1"/>
    <col min="14333" max="14333" width="10.85546875" style="3" customWidth="1"/>
    <col min="14334" max="14334" width="9.7109375" style="3" customWidth="1"/>
    <col min="14335" max="14335" width="13.28515625" style="3" customWidth="1"/>
    <col min="14336" max="14336" width="9.5703125" style="3"/>
    <col min="14337" max="14337" width="3.28515625" style="3" customWidth="1"/>
    <col min="14338" max="14338" width="11.28515625" style="3" bestFit="1" customWidth="1"/>
    <col min="14339" max="14339" width="20.5703125" style="3" customWidth="1"/>
    <col min="14340" max="14340" width="13.5703125" style="3" customWidth="1"/>
    <col min="14341" max="14341" width="12.140625" style="3" customWidth="1"/>
    <col min="14342" max="14342" width="8.5703125" style="3" customWidth="1"/>
    <col min="14343" max="14343" width="12.42578125" style="3" customWidth="1"/>
    <col min="14344" max="14344" width="12.42578125" style="3" bestFit="1" customWidth="1"/>
    <col min="14345" max="14345" width="12.140625" style="3" customWidth="1"/>
    <col min="14346" max="14346" width="8.5703125" style="3" customWidth="1"/>
    <col min="14347" max="14347" width="12.42578125" style="3" customWidth="1"/>
    <col min="14348" max="14348" width="12.42578125" style="3" bestFit="1" customWidth="1"/>
    <col min="14349" max="14349" width="12.140625" style="3" customWidth="1"/>
    <col min="14350" max="14350" width="8.5703125" style="3" customWidth="1"/>
    <col min="14351" max="14351" width="12.42578125" style="3" customWidth="1"/>
    <col min="14352" max="14352" width="12.42578125" style="3" bestFit="1" customWidth="1"/>
    <col min="14353" max="14353" width="12.140625" style="3" customWidth="1"/>
    <col min="14354" max="14354" width="8.5703125" style="3" customWidth="1"/>
    <col min="14355" max="14355" width="12.42578125" style="3" customWidth="1"/>
    <col min="14356" max="14356" width="12.42578125" style="3" bestFit="1" customWidth="1"/>
    <col min="14357" max="14357" width="12.140625" style="3" customWidth="1"/>
    <col min="14358" max="14358" width="8.5703125" style="3" customWidth="1"/>
    <col min="14359" max="14359" width="12.42578125" style="3" customWidth="1"/>
    <col min="14360" max="14360" width="12.42578125" style="3" bestFit="1" customWidth="1"/>
    <col min="14361" max="14361" width="12.140625" style="3" customWidth="1"/>
    <col min="14362" max="14362" width="8.5703125" style="3" customWidth="1"/>
    <col min="14363" max="14363" width="12.42578125" style="3" customWidth="1"/>
    <col min="14364" max="14364" width="12.42578125" style="3" bestFit="1" customWidth="1"/>
    <col min="14365" max="14365" width="12.140625" style="3" customWidth="1"/>
    <col min="14366" max="14366" width="8.5703125" style="3" customWidth="1"/>
    <col min="14367" max="14367" width="12.42578125" style="3" customWidth="1"/>
    <col min="14368" max="14368" width="12.42578125" style="3" bestFit="1" customWidth="1"/>
    <col min="14369" max="14369" width="12.140625" style="3" customWidth="1"/>
    <col min="14370" max="14370" width="8.5703125" style="3" customWidth="1"/>
    <col min="14371" max="14371" width="12.42578125" style="3" customWidth="1"/>
    <col min="14372" max="14372" width="12.42578125" style="3" bestFit="1" customWidth="1"/>
    <col min="14373" max="14373" width="12.140625" style="3" customWidth="1"/>
    <col min="14374" max="14374" width="8.5703125" style="3" customWidth="1"/>
    <col min="14375" max="14375" width="12.42578125" style="3" customWidth="1"/>
    <col min="14376" max="14376" width="12.42578125" style="3" bestFit="1" customWidth="1"/>
    <col min="14377" max="14377" width="12.140625" style="3" customWidth="1"/>
    <col min="14378" max="14378" width="8.5703125" style="3" customWidth="1"/>
    <col min="14379" max="14379" width="12.42578125" style="3" customWidth="1"/>
    <col min="14380" max="14380" width="12.42578125" style="3" bestFit="1" customWidth="1"/>
    <col min="14381" max="14381" width="12.140625" style="3" customWidth="1"/>
    <col min="14382" max="14382" width="8.5703125" style="3" customWidth="1"/>
    <col min="14383" max="14383" width="12.42578125" style="3" customWidth="1"/>
    <col min="14384" max="14384" width="12.42578125" style="3" bestFit="1" customWidth="1"/>
    <col min="14385" max="14385" width="12.140625" style="3" customWidth="1"/>
    <col min="14386" max="14386" width="8.5703125" style="3" customWidth="1"/>
    <col min="14387" max="14387" width="12.42578125" style="3" customWidth="1"/>
    <col min="14388" max="14388" width="14.28515625" style="3" customWidth="1"/>
    <col min="14389" max="14391" width="12.42578125" style="3" customWidth="1"/>
    <col min="14392" max="14392" width="17.85546875" style="3" customWidth="1"/>
    <col min="14393" max="14393" width="17.5703125" style="3" customWidth="1"/>
    <col min="14394" max="14394" width="14.28515625" style="3" customWidth="1"/>
    <col min="14395" max="14395" width="10.28515625" style="3" customWidth="1"/>
    <col min="14396" max="14534" width="8.85546875" style="3" customWidth="1"/>
    <col min="14535" max="14535" width="3.28515625" style="3" customWidth="1"/>
    <col min="14536" max="14536" width="4.7109375" style="3" customWidth="1"/>
    <col min="14537" max="14537" width="16.7109375" style="3" customWidth="1"/>
    <col min="14538" max="14569" width="8.85546875" style="3" customWidth="1"/>
    <col min="14570" max="14570" width="12" style="3" customWidth="1"/>
    <col min="14571" max="14572" width="8.85546875" style="3" customWidth="1"/>
    <col min="14573" max="14573" width="10.42578125" style="3" customWidth="1"/>
    <col min="14574" max="14574" width="12.85546875" style="3" customWidth="1"/>
    <col min="14575" max="14575" width="9.28515625" style="3" bestFit="1" customWidth="1"/>
    <col min="14576" max="14576" width="8.85546875" style="3" customWidth="1"/>
    <col min="14577" max="14577" width="11.7109375" style="3" customWidth="1"/>
    <col min="14578" max="14578" width="12.140625" style="3" customWidth="1"/>
    <col min="14579" max="14579" width="9.28515625" style="3" bestFit="1" customWidth="1"/>
    <col min="14580" max="14580" width="8.85546875" style="3" customWidth="1"/>
    <col min="14581" max="14582" width="11.7109375" style="3" customWidth="1"/>
    <col min="14583" max="14583" width="9.28515625" style="3" bestFit="1" customWidth="1"/>
    <col min="14584" max="14584" width="8.85546875" style="3" customWidth="1"/>
    <col min="14585" max="14585" width="11.85546875" style="3" bestFit="1" customWidth="1"/>
    <col min="14586" max="14587" width="8.85546875" style="3" customWidth="1"/>
    <col min="14588" max="14588" width="12.28515625" style="3" bestFit="1" customWidth="1"/>
    <col min="14589" max="14589" width="10.85546875" style="3" customWidth="1"/>
    <col min="14590" max="14590" width="9.7109375" style="3" customWidth="1"/>
    <col min="14591" max="14591" width="13.28515625" style="3" customWidth="1"/>
    <col min="14592" max="14592" width="9.5703125" style="3"/>
    <col min="14593" max="14593" width="3.28515625" style="3" customWidth="1"/>
    <col min="14594" max="14594" width="11.28515625" style="3" bestFit="1" customWidth="1"/>
    <col min="14595" max="14595" width="20.5703125" style="3" customWidth="1"/>
    <col min="14596" max="14596" width="13.5703125" style="3" customWidth="1"/>
    <col min="14597" max="14597" width="12.140625" style="3" customWidth="1"/>
    <col min="14598" max="14598" width="8.5703125" style="3" customWidth="1"/>
    <col min="14599" max="14599" width="12.42578125" style="3" customWidth="1"/>
    <col min="14600" max="14600" width="12.42578125" style="3" bestFit="1" customWidth="1"/>
    <col min="14601" max="14601" width="12.140625" style="3" customWidth="1"/>
    <col min="14602" max="14602" width="8.5703125" style="3" customWidth="1"/>
    <col min="14603" max="14603" width="12.42578125" style="3" customWidth="1"/>
    <col min="14604" max="14604" width="12.42578125" style="3" bestFit="1" customWidth="1"/>
    <col min="14605" max="14605" width="12.140625" style="3" customWidth="1"/>
    <col min="14606" max="14606" width="8.5703125" style="3" customWidth="1"/>
    <col min="14607" max="14607" width="12.42578125" style="3" customWidth="1"/>
    <col min="14608" max="14608" width="12.42578125" style="3" bestFit="1" customWidth="1"/>
    <col min="14609" max="14609" width="12.140625" style="3" customWidth="1"/>
    <col min="14610" max="14610" width="8.5703125" style="3" customWidth="1"/>
    <col min="14611" max="14611" width="12.42578125" style="3" customWidth="1"/>
    <col min="14612" max="14612" width="12.42578125" style="3" bestFit="1" customWidth="1"/>
    <col min="14613" max="14613" width="12.140625" style="3" customWidth="1"/>
    <col min="14614" max="14614" width="8.5703125" style="3" customWidth="1"/>
    <col min="14615" max="14615" width="12.42578125" style="3" customWidth="1"/>
    <col min="14616" max="14616" width="12.42578125" style="3" bestFit="1" customWidth="1"/>
    <col min="14617" max="14617" width="12.140625" style="3" customWidth="1"/>
    <col min="14618" max="14618" width="8.5703125" style="3" customWidth="1"/>
    <col min="14619" max="14619" width="12.42578125" style="3" customWidth="1"/>
    <col min="14620" max="14620" width="12.42578125" style="3" bestFit="1" customWidth="1"/>
    <col min="14621" max="14621" width="12.140625" style="3" customWidth="1"/>
    <col min="14622" max="14622" width="8.5703125" style="3" customWidth="1"/>
    <col min="14623" max="14623" width="12.42578125" style="3" customWidth="1"/>
    <col min="14624" max="14624" width="12.42578125" style="3" bestFit="1" customWidth="1"/>
    <col min="14625" max="14625" width="12.140625" style="3" customWidth="1"/>
    <col min="14626" max="14626" width="8.5703125" style="3" customWidth="1"/>
    <col min="14627" max="14627" width="12.42578125" style="3" customWidth="1"/>
    <col min="14628" max="14628" width="12.42578125" style="3" bestFit="1" customWidth="1"/>
    <col min="14629" max="14629" width="12.140625" style="3" customWidth="1"/>
    <col min="14630" max="14630" width="8.5703125" style="3" customWidth="1"/>
    <col min="14631" max="14631" width="12.42578125" style="3" customWidth="1"/>
    <col min="14632" max="14632" width="12.42578125" style="3" bestFit="1" customWidth="1"/>
    <col min="14633" max="14633" width="12.140625" style="3" customWidth="1"/>
    <col min="14634" max="14634" width="8.5703125" style="3" customWidth="1"/>
    <col min="14635" max="14635" width="12.42578125" style="3" customWidth="1"/>
    <col min="14636" max="14636" width="12.42578125" style="3" bestFit="1" customWidth="1"/>
    <col min="14637" max="14637" width="12.140625" style="3" customWidth="1"/>
    <col min="14638" max="14638" width="8.5703125" style="3" customWidth="1"/>
    <col min="14639" max="14639" width="12.42578125" style="3" customWidth="1"/>
    <col min="14640" max="14640" width="12.42578125" style="3" bestFit="1" customWidth="1"/>
    <col min="14641" max="14641" width="12.140625" style="3" customWidth="1"/>
    <col min="14642" max="14642" width="8.5703125" style="3" customWidth="1"/>
    <col min="14643" max="14643" width="12.42578125" style="3" customWidth="1"/>
    <col min="14644" max="14644" width="14.28515625" style="3" customWidth="1"/>
    <col min="14645" max="14647" width="12.42578125" style="3" customWidth="1"/>
    <col min="14648" max="14648" width="17.85546875" style="3" customWidth="1"/>
    <col min="14649" max="14649" width="17.5703125" style="3" customWidth="1"/>
    <col min="14650" max="14650" width="14.28515625" style="3" customWidth="1"/>
    <col min="14651" max="14651" width="10.28515625" style="3" customWidth="1"/>
    <col min="14652" max="14790" width="8.85546875" style="3" customWidth="1"/>
    <col min="14791" max="14791" width="3.28515625" style="3" customWidth="1"/>
    <col min="14792" max="14792" width="4.7109375" style="3" customWidth="1"/>
    <col min="14793" max="14793" width="16.7109375" style="3" customWidth="1"/>
    <col min="14794" max="14825" width="8.85546875" style="3" customWidth="1"/>
    <col min="14826" max="14826" width="12" style="3" customWidth="1"/>
    <col min="14827" max="14828" width="8.85546875" style="3" customWidth="1"/>
    <col min="14829" max="14829" width="10.42578125" style="3" customWidth="1"/>
    <col min="14830" max="14830" width="12.85546875" style="3" customWidth="1"/>
    <col min="14831" max="14831" width="9.28515625" style="3" bestFit="1" customWidth="1"/>
    <col min="14832" max="14832" width="8.85546875" style="3" customWidth="1"/>
    <col min="14833" max="14833" width="11.7109375" style="3" customWidth="1"/>
    <col min="14834" max="14834" width="12.140625" style="3" customWidth="1"/>
    <col min="14835" max="14835" width="9.28515625" style="3" bestFit="1" customWidth="1"/>
    <col min="14836" max="14836" width="8.85546875" style="3" customWidth="1"/>
    <col min="14837" max="14838" width="11.7109375" style="3" customWidth="1"/>
    <col min="14839" max="14839" width="9.28515625" style="3" bestFit="1" customWidth="1"/>
    <col min="14840" max="14840" width="8.85546875" style="3" customWidth="1"/>
    <col min="14841" max="14841" width="11.85546875" style="3" bestFit="1" customWidth="1"/>
    <col min="14842" max="14843" width="8.85546875" style="3" customWidth="1"/>
    <col min="14844" max="14844" width="12.28515625" style="3" bestFit="1" customWidth="1"/>
    <col min="14845" max="14845" width="10.85546875" style="3" customWidth="1"/>
    <col min="14846" max="14846" width="9.7109375" style="3" customWidth="1"/>
    <col min="14847" max="14847" width="13.28515625" style="3" customWidth="1"/>
    <col min="14848" max="14848" width="9.5703125" style="3"/>
    <col min="14849" max="14849" width="3.28515625" style="3" customWidth="1"/>
    <col min="14850" max="14850" width="11.28515625" style="3" bestFit="1" customWidth="1"/>
    <col min="14851" max="14851" width="20.5703125" style="3" customWidth="1"/>
    <col min="14852" max="14852" width="13.5703125" style="3" customWidth="1"/>
    <col min="14853" max="14853" width="12.140625" style="3" customWidth="1"/>
    <col min="14854" max="14854" width="8.5703125" style="3" customWidth="1"/>
    <col min="14855" max="14855" width="12.42578125" style="3" customWidth="1"/>
    <col min="14856" max="14856" width="12.42578125" style="3" bestFit="1" customWidth="1"/>
    <col min="14857" max="14857" width="12.140625" style="3" customWidth="1"/>
    <col min="14858" max="14858" width="8.5703125" style="3" customWidth="1"/>
    <col min="14859" max="14859" width="12.42578125" style="3" customWidth="1"/>
    <col min="14860" max="14860" width="12.42578125" style="3" bestFit="1" customWidth="1"/>
    <col min="14861" max="14861" width="12.140625" style="3" customWidth="1"/>
    <col min="14862" max="14862" width="8.5703125" style="3" customWidth="1"/>
    <col min="14863" max="14863" width="12.42578125" style="3" customWidth="1"/>
    <col min="14864" max="14864" width="12.42578125" style="3" bestFit="1" customWidth="1"/>
    <col min="14865" max="14865" width="12.140625" style="3" customWidth="1"/>
    <col min="14866" max="14866" width="8.5703125" style="3" customWidth="1"/>
    <col min="14867" max="14867" width="12.42578125" style="3" customWidth="1"/>
    <col min="14868" max="14868" width="12.42578125" style="3" bestFit="1" customWidth="1"/>
    <col min="14869" max="14869" width="12.140625" style="3" customWidth="1"/>
    <col min="14870" max="14870" width="8.5703125" style="3" customWidth="1"/>
    <col min="14871" max="14871" width="12.42578125" style="3" customWidth="1"/>
    <col min="14872" max="14872" width="12.42578125" style="3" bestFit="1" customWidth="1"/>
    <col min="14873" max="14873" width="12.140625" style="3" customWidth="1"/>
    <col min="14874" max="14874" width="8.5703125" style="3" customWidth="1"/>
    <col min="14875" max="14875" width="12.42578125" style="3" customWidth="1"/>
    <col min="14876" max="14876" width="12.42578125" style="3" bestFit="1" customWidth="1"/>
    <col min="14877" max="14877" width="12.140625" style="3" customWidth="1"/>
    <col min="14878" max="14878" width="8.5703125" style="3" customWidth="1"/>
    <col min="14879" max="14879" width="12.42578125" style="3" customWidth="1"/>
    <col min="14880" max="14880" width="12.42578125" style="3" bestFit="1" customWidth="1"/>
    <col min="14881" max="14881" width="12.140625" style="3" customWidth="1"/>
    <col min="14882" max="14882" width="8.5703125" style="3" customWidth="1"/>
    <col min="14883" max="14883" width="12.42578125" style="3" customWidth="1"/>
    <col min="14884" max="14884" width="12.42578125" style="3" bestFit="1" customWidth="1"/>
    <col min="14885" max="14885" width="12.140625" style="3" customWidth="1"/>
    <col min="14886" max="14886" width="8.5703125" style="3" customWidth="1"/>
    <col min="14887" max="14887" width="12.42578125" style="3" customWidth="1"/>
    <col min="14888" max="14888" width="12.42578125" style="3" bestFit="1" customWidth="1"/>
    <col min="14889" max="14889" width="12.140625" style="3" customWidth="1"/>
    <col min="14890" max="14890" width="8.5703125" style="3" customWidth="1"/>
    <col min="14891" max="14891" width="12.42578125" style="3" customWidth="1"/>
    <col min="14892" max="14892" width="12.42578125" style="3" bestFit="1" customWidth="1"/>
    <col min="14893" max="14893" width="12.140625" style="3" customWidth="1"/>
    <col min="14894" max="14894" width="8.5703125" style="3" customWidth="1"/>
    <col min="14895" max="14895" width="12.42578125" style="3" customWidth="1"/>
    <col min="14896" max="14896" width="12.42578125" style="3" bestFit="1" customWidth="1"/>
    <col min="14897" max="14897" width="12.140625" style="3" customWidth="1"/>
    <col min="14898" max="14898" width="8.5703125" style="3" customWidth="1"/>
    <col min="14899" max="14899" width="12.42578125" style="3" customWidth="1"/>
    <col min="14900" max="14900" width="14.28515625" style="3" customWidth="1"/>
    <col min="14901" max="14903" width="12.42578125" style="3" customWidth="1"/>
    <col min="14904" max="14904" width="17.85546875" style="3" customWidth="1"/>
    <col min="14905" max="14905" width="17.5703125" style="3" customWidth="1"/>
    <col min="14906" max="14906" width="14.28515625" style="3" customWidth="1"/>
    <col min="14907" max="14907" width="10.28515625" style="3" customWidth="1"/>
    <col min="14908" max="15046" width="8.85546875" style="3" customWidth="1"/>
    <col min="15047" max="15047" width="3.28515625" style="3" customWidth="1"/>
    <col min="15048" max="15048" width="4.7109375" style="3" customWidth="1"/>
    <col min="15049" max="15049" width="16.7109375" style="3" customWidth="1"/>
    <col min="15050" max="15081" width="8.85546875" style="3" customWidth="1"/>
    <col min="15082" max="15082" width="12" style="3" customWidth="1"/>
    <col min="15083" max="15084" width="8.85546875" style="3" customWidth="1"/>
    <col min="15085" max="15085" width="10.42578125" style="3" customWidth="1"/>
    <col min="15086" max="15086" width="12.85546875" style="3" customWidth="1"/>
    <col min="15087" max="15087" width="9.28515625" style="3" bestFit="1" customWidth="1"/>
    <col min="15088" max="15088" width="8.85546875" style="3" customWidth="1"/>
    <col min="15089" max="15089" width="11.7109375" style="3" customWidth="1"/>
    <col min="15090" max="15090" width="12.140625" style="3" customWidth="1"/>
    <col min="15091" max="15091" width="9.28515625" style="3" bestFit="1" customWidth="1"/>
    <col min="15092" max="15092" width="8.85546875" style="3" customWidth="1"/>
    <col min="15093" max="15094" width="11.7109375" style="3" customWidth="1"/>
    <col min="15095" max="15095" width="9.28515625" style="3" bestFit="1" customWidth="1"/>
    <col min="15096" max="15096" width="8.85546875" style="3" customWidth="1"/>
    <col min="15097" max="15097" width="11.85546875" style="3" bestFit="1" customWidth="1"/>
    <col min="15098" max="15099" width="8.85546875" style="3" customWidth="1"/>
    <col min="15100" max="15100" width="12.28515625" style="3" bestFit="1" customWidth="1"/>
    <col min="15101" max="15101" width="10.85546875" style="3" customWidth="1"/>
    <col min="15102" max="15102" width="9.7109375" style="3" customWidth="1"/>
    <col min="15103" max="15103" width="13.28515625" style="3" customWidth="1"/>
    <col min="15104" max="15104" width="9.5703125" style="3"/>
    <col min="15105" max="15105" width="3.28515625" style="3" customWidth="1"/>
    <col min="15106" max="15106" width="11.28515625" style="3" bestFit="1" customWidth="1"/>
    <col min="15107" max="15107" width="20.5703125" style="3" customWidth="1"/>
    <col min="15108" max="15108" width="13.5703125" style="3" customWidth="1"/>
    <col min="15109" max="15109" width="12.140625" style="3" customWidth="1"/>
    <col min="15110" max="15110" width="8.5703125" style="3" customWidth="1"/>
    <col min="15111" max="15111" width="12.42578125" style="3" customWidth="1"/>
    <col min="15112" max="15112" width="12.42578125" style="3" bestFit="1" customWidth="1"/>
    <col min="15113" max="15113" width="12.140625" style="3" customWidth="1"/>
    <col min="15114" max="15114" width="8.5703125" style="3" customWidth="1"/>
    <col min="15115" max="15115" width="12.42578125" style="3" customWidth="1"/>
    <col min="15116" max="15116" width="12.42578125" style="3" bestFit="1" customWidth="1"/>
    <col min="15117" max="15117" width="12.140625" style="3" customWidth="1"/>
    <col min="15118" max="15118" width="8.5703125" style="3" customWidth="1"/>
    <col min="15119" max="15119" width="12.42578125" style="3" customWidth="1"/>
    <col min="15120" max="15120" width="12.42578125" style="3" bestFit="1" customWidth="1"/>
    <col min="15121" max="15121" width="12.140625" style="3" customWidth="1"/>
    <col min="15122" max="15122" width="8.5703125" style="3" customWidth="1"/>
    <col min="15123" max="15123" width="12.42578125" style="3" customWidth="1"/>
    <col min="15124" max="15124" width="12.42578125" style="3" bestFit="1" customWidth="1"/>
    <col min="15125" max="15125" width="12.140625" style="3" customWidth="1"/>
    <col min="15126" max="15126" width="8.5703125" style="3" customWidth="1"/>
    <col min="15127" max="15127" width="12.42578125" style="3" customWidth="1"/>
    <col min="15128" max="15128" width="12.42578125" style="3" bestFit="1" customWidth="1"/>
    <col min="15129" max="15129" width="12.140625" style="3" customWidth="1"/>
    <col min="15130" max="15130" width="8.5703125" style="3" customWidth="1"/>
    <col min="15131" max="15131" width="12.42578125" style="3" customWidth="1"/>
    <col min="15132" max="15132" width="12.42578125" style="3" bestFit="1" customWidth="1"/>
    <col min="15133" max="15133" width="12.140625" style="3" customWidth="1"/>
    <col min="15134" max="15134" width="8.5703125" style="3" customWidth="1"/>
    <col min="15135" max="15135" width="12.42578125" style="3" customWidth="1"/>
    <col min="15136" max="15136" width="12.42578125" style="3" bestFit="1" customWidth="1"/>
    <col min="15137" max="15137" width="12.140625" style="3" customWidth="1"/>
    <col min="15138" max="15138" width="8.5703125" style="3" customWidth="1"/>
    <col min="15139" max="15139" width="12.42578125" style="3" customWidth="1"/>
    <col min="15140" max="15140" width="12.42578125" style="3" bestFit="1" customWidth="1"/>
    <col min="15141" max="15141" width="12.140625" style="3" customWidth="1"/>
    <col min="15142" max="15142" width="8.5703125" style="3" customWidth="1"/>
    <col min="15143" max="15143" width="12.42578125" style="3" customWidth="1"/>
    <col min="15144" max="15144" width="12.42578125" style="3" bestFit="1" customWidth="1"/>
    <col min="15145" max="15145" width="12.140625" style="3" customWidth="1"/>
    <col min="15146" max="15146" width="8.5703125" style="3" customWidth="1"/>
    <col min="15147" max="15147" width="12.42578125" style="3" customWidth="1"/>
    <col min="15148" max="15148" width="12.42578125" style="3" bestFit="1" customWidth="1"/>
    <col min="15149" max="15149" width="12.140625" style="3" customWidth="1"/>
    <col min="15150" max="15150" width="8.5703125" style="3" customWidth="1"/>
    <col min="15151" max="15151" width="12.42578125" style="3" customWidth="1"/>
    <col min="15152" max="15152" width="12.42578125" style="3" bestFit="1" customWidth="1"/>
    <col min="15153" max="15153" width="12.140625" style="3" customWidth="1"/>
    <col min="15154" max="15154" width="8.5703125" style="3" customWidth="1"/>
    <col min="15155" max="15155" width="12.42578125" style="3" customWidth="1"/>
    <col min="15156" max="15156" width="14.28515625" style="3" customWidth="1"/>
    <col min="15157" max="15159" width="12.42578125" style="3" customWidth="1"/>
    <col min="15160" max="15160" width="17.85546875" style="3" customWidth="1"/>
    <col min="15161" max="15161" width="17.5703125" style="3" customWidth="1"/>
    <col min="15162" max="15162" width="14.28515625" style="3" customWidth="1"/>
    <col min="15163" max="15163" width="10.28515625" style="3" customWidth="1"/>
    <col min="15164" max="15302" width="8.85546875" style="3" customWidth="1"/>
    <col min="15303" max="15303" width="3.28515625" style="3" customWidth="1"/>
    <col min="15304" max="15304" width="4.7109375" style="3" customWidth="1"/>
    <col min="15305" max="15305" width="16.7109375" style="3" customWidth="1"/>
    <col min="15306" max="15337" width="8.85546875" style="3" customWidth="1"/>
    <col min="15338" max="15338" width="12" style="3" customWidth="1"/>
    <col min="15339" max="15340" width="8.85546875" style="3" customWidth="1"/>
    <col min="15341" max="15341" width="10.42578125" style="3" customWidth="1"/>
    <col min="15342" max="15342" width="12.85546875" style="3" customWidth="1"/>
    <col min="15343" max="15343" width="9.28515625" style="3" bestFit="1" customWidth="1"/>
    <col min="15344" max="15344" width="8.85546875" style="3" customWidth="1"/>
    <col min="15345" max="15345" width="11.7109375" style="3" customWidth="1"/>
    <col min="15346" max="15346" width="12.140625" style="3" customWidth="1"/>
    <col min="15347" max="15347" width="9.28515625" style="3" bestFit="1" customWidth="1"/>
    <col min="15348" max="15348" width="8.85546875" style="3" customWidth="1"/>
    <col min="15349" max="15350" width="11.7109375" style="3" customWidth="1"/>
    <col min="15351" max="15351" width="9.28515625" style="3" bestFit="1" customWidth="1"/>
    <col min="15352" max="15352" width="8.85546875" style="3" customWidth="1"/>
    <col min="15353" max="15353" width="11.85546875" style="3" bestFit="1" customWidth="1"/>
    <col min="15354" max="15355" width="8.85546875" style="3" customWidth="1"/>
    <col min="15356" max="15356" width="12.28515625" style="3" bestFit="1" customWidth="1"/>
    <col min="15357" max="15357" width="10.85546875" style="3" customWidth="1"/>
    <col min="15358" max="15358" width="9.7109375" style="3" customWidth="1"/>
    <col min="15359" max="15359" width="13.28515625" style="3" customWidth="1"/>
    <col min="15360" max="15360" width="9.5703125" style="3"/>
    <col min="15361" max="15361" width="3.28515625" style="3" customWidth="1"/>
    <col min="15362" max="15362" width="11.28515625" style="3" bestFit="1" customWidth="1"/>
    <col min="15363" max="15363" width="20.5703125" style="3" customWidth="1"/>
    <col min="15364" max="15364" width="13.5703125" style="3" customWidth="1"/>
    <col min="15365" max="15365" width="12.140625" style="3" customWidth="1"/>
    <col min="15366" max="15366" width="8.5703125" style="3" customWidth="1"/>
    <col min="15367" max="15367" width="12.42578125" style="3" customWidth="1"/>
    <col min="15368" max="15368" width="12.42578125" style="3" bestFit="1" customWidth="1"/>
    <col min="15369" max="15369" width="12.140625" style="3" customWidth="1"/>
    <col min="15370" max="15370" width="8.5703125" style="3" customWidth="1"/>
    <col min="15371" max="15371" width="12.42578125" style="3" customWidth="1"/>
    <col min="15372" max="15372" width="12.42578125" style="3" bestFit="1" customWidth="1"/>
    <col min="15373" max="15373" width="12.140625" style="3" customWidth="1"/>
    <col min="15374" max="15374" width="8.5703125" style="3" customWidth="1"/>
    <col min="15375" max="15375" width="12.42578125" style="3" customWidth="1"/>
    <col min="15376" max="15376" width="12.42578125" style="3" bestFit="1" customWidth="1"/>
    <col min="15377" max="15377" width="12.140625" style="3" customWidth="1"/>
    <col min="15378" max="15378" width="8.5703125" style="3" customWidth="1"/>
    <col min="15379" max="15379" width="12.42578125" style="3" customWidth="1"/>
    <col min="15380" max="15380" width="12.42578125" style="3" bestFit="1" customWidth="1"/>
    <col min="15381" max="15381" width="12.140625" style="3" customWidth="1"/>
    <col min="15382" max="15382" width="8.5703125" style="3" customWidth="1"/>
    <col min="15383" max="15383" width="12.42578125" style="3" customWidth="1"/>
    <col min="15384" max="15384" width="12.42578125" style="3" bestFit="1" customWidth="1"/>
    <col min="15385" max="15385" width="12.140625" style="3" customWidth="1"/>
    <col min="15386" max="15386" width="8.5703125" style="3" customWidth="1"/>
    <col min="15387" max="15387" width="12.42578125" style="3" customWidth="1"/>
    <col min="15388" max="15388" width="12.42578125" style="3" bestFit="1" customWidth="1"/>
    <col min="15389" max="15389" width="12.140625" style="3" customWidth="1"/>
    <col min="15390" max="15390" width="8.5703125" style="3" customWidth="1"/>
    <col min="15391" max="15391" width="12.42578125" style="3" customWidth="1"/>
    <col min="15392" max="15392" width="12.42578125" style="3" bestFit="1" customWidth="1"/>
    <col min="15393" max="15393" width="12.140625" style="3" customWidth="1"/>
    <col min="15394" max="15394" width="8.5703125" style="3" customWidth="1"/>
    <col min="15395" max="15395" width="12.42578125" style="3" customWidth="1"/>
    <col min="15396" max="15396" width="12.42578125" style="3" bestFit="1" customWidth="1"/>
    <col min="15397" max="15397" width="12.140625" style="3" customWidth="1"/>
    <col min="15398" max="15398" width="8.5703125" style="3" customWidth="1"/>
    <col min="15399" max="15399" width="12.42578125" style="3" customWidth="1"/>
    <col min="15400" max="15400" width="12.42578125" style="3" bestFit="1" customWidth="1"/>
    <col min="15401" max="15401" width="12.140625" style="3" customWidth="1"/>
    <col min="15402" max="15402" width="8.5703125" style="3" customWidth="1"/>
    <col min="15403" max="15403" width="12.42578125" style="3" customWidth="1"/>
    <col min="15404" max="15404" width="12.42578125" style="3" bestFit="1" customWidth="1"/>
    <col min="15405" max="15405" width="12.140625" style="3" customWidth="1"/>
    <col min="15406" max="15406" width="8.5703125" style="3" customWidth="1"/>
    <col min="15407" max="15407" width="12.42578125" style="3" customWidth="1"/>
    <col min="15408" max="15408" width="12.42578125" style="3" bestFit="1" customWidth="1"/>
    <col min="15409" max="15409" width="12.140625" style="3" customWidth="1"/>
    <col min="15410" max="15410" width="8.5703125" style="3" customWidth="1"/>
    <col min="15411" max="15411" width="12.42578125" style="3" customWidth="1"/>
    <col min="15412" max="15412" width="14.28515625" style="3" customWidth="1"/>
    <col min="15413" max="15415" width="12.42578125" style="3" customWidth="1"/>
    <col min="15416" max="15416" width="17.85546875" style="3" customWidth="1"/>
    <col min="15417" max="15417" width="17.5703125" style="3" customWidth="1"/>
    <col min="15418" max="15418" width="14.28515625" style="3" customWidth="1"/>
    <col min="15419" max="15419" width="10.28515625" style="3" customWidth="1"/>
    <col min="15420" max="15558" width="8.85546875" style="3" customWidth="1"/>
    <col min="15559" max="15559" width="3.28515625" style="3" customWidth="1"/>
    <col min="15560" max="15560" width="4.7109375" style="3" customWidth="1"/>
    <col min="15561" max="15561" width="16.7109375" style="3" customWidth="1"/>
    <col min="15562" max="15593" width="8.85546875" style="3" customWidth="1"/>
    <col min="15594" max="15594" width="12" style="3" customWidth="1"/>
    <col min="15595" max="15596" width="8.85546875" style="3" customWidth="1"/>
    <col min="15597" max="15597" width="10.42578125" style="3" customWidth="1"/>
    <col min="15598" max="15598" width="12.85546875" style="3" customWidth="1"/>
    <col min="15599" max="15599" width="9.28515625" style="3" bestFit="1" customWidth="1"/>
    <col min="15600" max="15600" width="8.85546875" style="3" customWidth="1"/>
    <col min="15601" max="15601" width="11.7109375" style="3" customWidth="1"/>
    <col min="15602" max="15602" width="12.140625" style="3" customWidth="1"/>
    <col min="15603" max="15603" width="9.28515625" style="3" bestFit="1" customWidth="1"/>
    <col min="15604" max="15604" width="8.85546875" style="3" customWidth="1"/>
    <col min="15605" max="15606" width="11.7109375" style="3" customWidth="1"/>
    <col min="15607" max="15607" width="9.28515625" style="3" bestFit="1" customWidth="1"/>
    <col min="15608" max="15608" width="8.85546875" style="3" customWidth="1"/>
    <col min="15609" max="15609" width="11.85546875" style="3" bestFit="1" customWidth="1"/>
    <col min="15610" max="15611" width="8.85546875" style="3" customWidth="1"/>
    <col min="15612" max="15612" width="12.28515625" style="3" bestFit="1" customWidth="1"/>
    <col min="15613" max="15613" width="10.85546875" style="3" customWidth="1"/>
    <col min="15614" max="15614" width="9.7109375" style="3" customWidth="1"/>
    <col min="15615" max="15615" width="13.28515625" style="3" customWidth="1"/>
    <col min="15616" max="15616" width="9.5703125" style="3"/>
    <col min="15617" max="15617" width="3.28515625" style="3" customWidth="1"/>
    <col min="15618" max="15618" width="11.28515625" style="3" bestFit="1" customWidth="1"/>
    <col min="15619" max="15619" width="20.5703125" style="3" customWidth="1"/>
    <col min="15620" max="15620" width="13.5703125" style="3" customWidth="1"/>
    <col min="15621" max="15621" width="12.140625" style="3" customWidth="1"/>
    <col min="15622" max="15622" width="8.5703125" style="3" customWidth="1"/>
    <col min="15623" max="15623" width="12.42578125" style="3" customWidth="1"/>
    <col min="15624" max="15624" width="12.42578125" style="3" bestFit="1" customWidth="1"/>
    <col min="15625" max="15625" width="12.140625" style="3" customWidth="1"/>
    <col min="15626" max="15626" width="8.5703125" style="3" customWidth="1"/>
    <col min="15627" max="15627" width="12.42578125" style="3" customWidth="1"/>
    <col min="15628" max="15628" width="12.42578125" style="3" bestFit="1" customWidth="1"/>
    <col min="15629" max="15629" width="12.140625" style="3" customWidth="1"/>
    <col min="15630" max="15630" width="8.5703125" style="3" customWidth="1"/>
    <col min="15631" max="15631" width="12.42578125" style="3" customWidth="1"/>
    <col min="15632" max="15632" width="12.42578125" style="3" bestFit="1" customWidth="1"/>
    <col min="15633" max="15633" width="12.140625" style="3" customWidth="1"/>
    <col min="15634" max="15634" width="8.5703125" style="3" customWidth="1"/>
    <col min="15635" max="15635" width="12.42578125" style="3" customWidth="1"/>
    <col min="15636" max="15636" width="12.42578125" style="3" bestFit="1" customWidth="1"/>
    <col min="15637" max="15637" width="12.140625" style="3" customWidth="1"/>
    <col min="15638" max="15638" width="8.5703125" style="3" customWidth="1"/>
    <col min="15639" max="15639" width="12.42578125" style="3" customWidth="1"/>
    <col min="15640" max="15640" width="12.42578125" style="3" bestFit="1" customWidth="1"/>
    <col min="15641" max="15641" width="12.140625" style="3" customWidth="1"/>
    <col min="15642" max="15642" width="8.5703125" style="3" customWidth="1"/>
    <col min="15643" max="15643" width="12.42578125" style="3" customWidth="1"/>
    <col min="15644" max="15644" width="12.42578125" style="3" bestFit="1" customWidth="1"/>
    <col min="15645" max="15645" width="12.140625" style="3" customWidth="1"/>
    <col min="15646" max="15646" width="8.5703125" style="3" customWidth="1"/>
    <col min="15647" max="15647" width="12.42578125" style="3" customWidth="1"/>
    <col min="15648" max="15648" width="12.42578125" style="3" bestFit="1" customWidth="1"/>
    <col min="15649" max="15649" width="12.140625" style="3" customWidth="1"/>
    <col min="15650" max="15650" width="8.5703125" style="3" customWidth="1"/>
    <col min="15651" max="15651" width="12.42578125" style="3" customWidth="1"/>
    <col min="15652" max="15652" width="12.42578125" style="3" bestFit="1" customWidth="1"/>
    <col min="15653" max="15653" width="12.140625" style="3" customWidth="1"/>
    <col min="15654" max="15654" width="8.5703125" style="3" customWidth="1"/>
    <col min="15655" max="15655" width="12.42578125" style="3" customWidth="1"/>
    <col min="15656" max="15656" width="12.42578125" style="3" bestFit="1" customWidth="1"/>
    <col min="15657" max="15657" width="12.140625" style="3" customWidth="1"/>
    <col min="15658" max="15658" width="8.5703125" style="3" customWidth="1"/>
    <col min="15659" max="15659" width="12.42578125" style="3" customWidth="1"/>
    <col min="15660" max="15660" width="12.42578125" style="3" bestFit="1" customWidth="1"/>
    <col min="15661" max="15661" width="12.140625" style="3" customWidth="1"/>
    <col min="15662" max="15662" width="8.5703125" style="3" customWidth="1"/>
    <col min="15663" max="15663" width="12.42578125" style="3" customWidth="1"/>
    <col min="15664" max="15664" width="12.42578125" style="3" bestFit="1" customWidth="1"/>
    <col min="15665" max="15665" width="12.140625" style="3" customWidth="1"/>
    <col min="15666" max="15666" width="8.5703125" style="3" customWidth="1"/>
    <col min="15667" max="15667" width="12.42578125" style="3" customWidth="1"/>
    <col min="15668" max="15668" width="14.28515625" style="3" customWidth="1"/>
    <col min="15669" max="15671" width="12.42578125" style="3" customWidth="1"/>
    <col min="15672" max="15672" width="17.85546875" style="3" customWidth="1"/>
    <col min="15673" max="15673" width="17.5703125" style="3" customWidth="1"/>
    <col min="15674" max="15674" width="14.28515625" style="3" customWidth="1"/>
    <col min="15675" max="15675" width="10.28515625" style="3" customWidth="1"/>
    <col min="15676" max="15814" width="8.85546875" style="3" customWidth="1"/>
    <col min="15815" max="15815" width="3.28515625" style="3" customWidth="1"/>
    <col min="15816" max="15816" width="4.7109375" style="3" customWidth="1"/>
    <col min="15817" max="15817" width="16.7109375" style="3" customWidth="1"/>
    <col min="15818" max="15849" width="8.85546875" style="3" customWidth="1"/>
    <col min="15850" max="15850" width="12" style="3" customWidth="1"/>
    <col min="15851" max="15852" width="8.85546875" style="3" customWidth="1"/>
    <col min="15853" max="15853" width="10.42578125" style="3" customWidth="1"/>
    <col min="15854" max="15854" width="12.85546875" style="3" customWidth="1"/>
    <col min="15855" max="15855" width="9.28515625" style="3" bestFit="1" customWidth="1"/>
    <col min="15856" max="15856" width="8.85546875" style="3" customWidth="1"/>
    <col min="15857" max="15857" width="11.7109375" style="3" customWidth="1"/>
    <col min="15858" max="15858" width="12.140625" style="3" customWidth="1"/>
    <col min="15859" max="15859" width="9.28515625" style="3" bestFit="1" customWidth="1"/>
    <col min="15860" max="15860" width="8.85546875" style="3" customWidth="1"/>
    <col min="15861" max="15862" width="11.7109375" style="3" customWidth="1"/>
    <col min="15863" max="15863" width="9.28515625" style="3" bestFit="1" customWidth="1"/>
    <col min="15864" max="15864" width="8.85546875" style="3" customWidth="1"/>
    <col min="15865" max="15865" width="11.85546875" style="3" bestFit="1" customWidth="1"/>
    <col min="15866" max="15867" width="8.85546875" style="3" customWidth="1"/>
    <col min="15868" max="15868" width="12.28515625" style="3" bestFit="1" customWidth="1"/>
    <col min="15869" max="15869" width="10.85546875" style="3" customWidth="1"/>
    <col min="15870" max="15870" width="9.7109375" style="3" customWidth="1"/>
    <col min="15871" max="15871" width="13.28515625" style="3" customWidth="1"/>
    <col min="15872" max="15872" width="9.5703125" style="3"/>
    <col min="15873" max="15873" width="3.28515625" style="3" customWidth="1"/>
    <col min="15874" max="15874" width="11.28515625" style="3" bestFit="1" customWidth="1"/>
    <col min="15875" max="15875" width="20.5703125" style="3" customWidth="1"/>
    <col min="15876" max="15876" width="13.5703125" style="3" customWidth="1"/>
    <col min="15877" max="15877" width="12.140625" style="3" customWidth="1"/>
    <col min="15878" max="15878" width="8.5703125" style="3" customWidth="1"/>
    <col min="15879" max="15879" width="12.42578125" style="3" customWidth="1"/>
    <col min="15880" max="15880" width="12.42578125" style="3" bestFit="1" customWidth="1"/>
    <col min="15881" max="15881" width="12.140625" style="3" customWidth="1"/>
    <col min="15882" max="15882" width="8.5703125" style="3" customWidth="1"/>
    <col min="15883" max="15883" width="12.42578125" style="3" customWidth="1"/>
    <col min="15884" max="15884" width="12.42578125" style="3" bestFit="1" customWidth="1"/>
    <col min="15885" max="15885" width="12.140625" style="3" customWidth="1"/>
    <col min="15886" max="15886" width="8.5703125" style="3" customWidth="1"/>
    <col min="15887" max="15887" width="12.42578125" style="3" customWidth="1"/>
    <col min="15888" max="15888" width="12.42578125" style="3" bestFit="1" customWidth="1"/>
    <col min="15889" max="15889" width="12.140625" style="3" customWidth="1"/>
    <col min="15890" max="15890" width="8.5703125" style="3" customWidth="1"/>
    <col min="15891" max="15891" width="12.42578125" style="3" customWidth="1"/>
    <col min="15892" max="15892" width="12.42578125" style="3" bestFit="1" customWidth="1"/>
    <col min="15893" max="15893" width="12.140625" style="3" customWidth="1"/>
    <col min="15894" max="15894" width="8.5703125" style="3" customWidth="1"/>
    <col min="15895" max="15895" width="12.42578125" style="3" customWidth="1"/>
    <col min="15896" max="15896" width="12.42578125" style="3" bestFit="1" customWidth="1"/>
    <col min="15897" max="15897" width="12.140625" style="3" customWidth="1"/>
    <col min="15898" max="15898" width="8.5703125" style="3" customWidth="1"/>
    <col min="15899" max="15899" width="12.42578125" style="3" customWidth="1"/>
    <col min="15900" max="15900" width="12.42578125" style="3" bestFit="1" customWidth="1"/>
    <col min="15901" max="15901" width="12.140625" style="3" customWidth="1"/>
    <col min="15902" max="15902" width="8.5703125" style="3" customWidth="1"/>
    <col min="15903" max="15903" width="12.42578125" style="3" customWidth="1"/>
    <col min="15904" max="15904" width="12.42578125" style="3" bestFit="1" customWidth="1"/>
    <col min="15905" max="15905" width="12.140625" style="3" customWidth="1"/>
    <col min="15906" max="15906" width="8.5703125" style="3" customWidth="1"/>
    <col min="15907" max="15907" width="12.42578125" style="3" customWidth="1"/>
    <col min="15908" max="15908" width="12.42578125" style="3" bestFit="1" customWidth="1"/>
    <col min="15909" max="15909" width="12.140625" style="3" customWidth="1"/>
    <col min="15910" max="15910" width="8.5703125" style="3" customWidth="1"/>
    <col min="15911" max="15911" width="12.42578125" style="3" customWidth="1"/>
    <col min="15912" max="15912" width="12.42578125" style="3" bestFit="1" customWidth="1"/>
    <col min="15913" max="15913" width="12.140625" style="3" customWidth="1"/>
    <col min="15914" max="15914" width="8.5703125" style="3" customWidth="1"/>
    <col min="15915" max="15915" width="12.42578125" style="3" customWidth="1"/>
    <col min="15916" max="15916" width="12.42578125" style="3" bestFit="1" customWidth="1"/>
    <col min="15917" max="15917" width="12.140625" style="3" customWidth="1"/>
    <col min="15918" max="15918" width="8.5703125" style="3" customWidth="1"/>
    <col min="15919" max="15919" width="12.42578125" style="3" customWidth="1"/>
    <col min="15920" max="15920" width="12.42578125" style="3" bestFit="1" customWidth="1"/>
    <col min="15921" max="15921" width="12.140625" style="3" customWidth="1"/>
    <col min="15922" max="15922" width="8.5703125" style="3" customWidth="1"/>
    <col min="15923" max="15923" width="12.42578125" style="3" customWidth="1"/>
    <col min="15924" max="15924" width="14.28515625" style="3" customWidth="1"/>
    <col min="15925" max="15927" width="12.42578125" style="3" customWidth="1"/>
    <col min="15928" max="15928" width="17.85546875" style="3" customWidth="1"/>
    <col min="15929" max="15929" width="17.5703125" style="3" customWidth="1"/>
    <col min="15930" max="15930" width="14.28515625" style="3" customWidth="1"/>
    <col min="15931" max="15931" width="10.28515625" style="3" customWidth="1"/>
    <col min="15932" max="16070" width="8.85546875" style="3" customWidth="1"/>
    <col min="16071" max="16071" width="3.28515625" style="3" customWidth="1"/>
    <col min="16072" max="16072" width="4.7109375" style="3" customWidth="1"/>
    <col min="16073" max="16073" width="16.7109375" style="3" customWidth="1"/>
    <col min="16074" max="16105" width="8.85546875" style="3" customWidth="1"/>
    <col min="16106" max="16106" width="12" style="3" customWidth="1"/>
    <col min="16107" max="16108" width="8.85546875" style="3" customWidth="1"/>
    <col min="16109" max="16109" width="10.42578125" style="3" customWidth="1"/>
    <col min="16110" max="16110" width="12.85546875" style="3" customWidth="1"/>
    <col min="16111" max="16111" width="9.28515625" style="3" bestFit="1" customWidth="1"/>
    <col min="16112" max="16112" width="8.85546875" style="3" customWidth="1"/>
    <col min="16113" max="16113" width="11.7109375" style="3" customWidth="1"/>
    <col min="16114" max="16114" width="12.140625" style="3" customWidth="1"/>
    <col min="16115" max="16115" width="9.28515625" style="3" bestFit="1" customWidth="1"/>
    <col min="16116" max="16116" width="8.85546875" style="3" customWidth="1"/>
    <col min="16117" max="16118" width="11.7109375" style="3" customWidth="1"/>
    <col min="16119" max="16119" width="9.28515625" style="3" bestFit="1" customWidth="1"/>
    <col min="16120" max="16120" width="8.85546875" style="3" customWidth="1"/>
    <col min="16121" max="16121" width="11.85546875" style="3" bestFit="1" customWidth="1"/>
    <col min="16122" max="16123" width="8.85546875" style="3" customWidth="1"/>
    <col min="16124" max="16124" width="12.28515625" style="3" bestFit="1" customWidth="1"/>
    <col min="16125" max="16125" width="10.85546875" style="3" customWidth="1"/>
    <col min="16126" max="16126" width="9.7109375" style="3" customWidth="1"/>
    <col min="16127" max="16127" width="13.28515625" style="3" customWidth="1"/>
    <col min="16128" max="16128" width="9.5703125" style="3"/>
    <col min="16129" max="16129" width="3.28515625" style="3" customWidth="1"/>
    <col min="16130" max="16130" width="11.28515625" style="3" bestFit="1" customWidth="1"/>
    <col min="16131" max="16131" width="20.5703125" style="3" customWidth="1"/>
    <col min="16132" max="16132" width="13.5703125" style="3" customWidth="1"/>
    <col min="16133" max="16133" width="12.140625" style="3" customWidth="1"/>
    <col min="16134" max="16134" width="8.5703125" style="3" customWidth="1"/>
    <col min="16135" max="16135" width="12.42578125" style="3" customWidth="1"/>
    <col min="16136" max="16136" width="12.42578125" style="3" bestFit="1" customWidth="1"/>
    <col min="16137" max="16137" width="12.140625" style="3" customWidth="1"/>
    <col min="16138" max="16138" width="8.5703125" style="3" customWidth="1"/>
    <col min="16139" max="16139" width="12.42578125" style="3" customWidth="1"/>
    <col min="16140" max="16140" width="12.42578125" style="3" bestFit="1" customWidth="1"/>
    <col min="16141" max="16141" width="12.140625" style="3" customWidth="1"/>
    <col min="16142" max="16142" width="8.5703125" style="3" customWidth="1"/>
    <col min="16143" max="16143" width="12.42578125" style="3" customWidth="1"/>
    <col min="16144" max="16144" width="12.42578125" style="3" bestFit="1" customWidth="1"/>
    <col min="16145" max="16145" width="12.140625" style="3" customWidth="1"/>
    <col min="16146" max="16146" width="8.5703125" style="3" customWidth="1"/>
    <col min="16147" max="16147" width="12.42578125" style="3" customWidth="1"/>
    <col min="16148" max="16148" width="12.42578125" style="3" bestFit="1" customWidth="1"/>
    <col min="16149" max="16149" width="12.140625" style="3" customWidth="1"/>
    <col min="16150" max="16150" width="8.5703125" style="3" customWidth="1"/>
    <col min="16151" max="16151" width="12.42578125" style="3" customWidth="1"/>
    <col min="16152" max="16152" width="12.42578125" style="3" bestFit="1" customWidth="1"/>
    <col min="16153" max="16153" width="12.140625" style="3" customWidth="1"/>
    <col min="16154" max="16154" width="8.5703125" style="3" customWidth="1"/>
    <col min="16155" max="16155" width="12.42578125" style="3" customWidth="1"/>
    <col min="16156" max="16156" width="12.42578125" style="3" bestFit="1" customWidth="1"/>
    <col min="16157" max="16157" width="12.140625" style="3" customWidth="1"/>
    <col min="16158" max="16158" width="8.5703125" style="3" customWidth="1"/>
    <col min="16159" max="16159" width="12.42578125" style="3" customWidth="1"/>
    <col min="16160" max="16160" width="12.42578125" style="3" bestFit="1" customWidth="1"/>
    <col min="16161" max="16161" width="12.140625" style="3" customWidth="1"/>
    <col min="16162" max="16162" width="8.5703125" style="3" customWidth="1"/>
    <col min="16163" max="16163" width="12.42578125" style="3" customWidth="1"/>
    <col min="16164" max="16164" width="12.42578125" style="3" bestFit="1" customWidth="1"/>
    <col min="16165" max="16165" width="12.140625" style="3" customWidth="1"/>
    <col min="16166" max="16166" width="8.5703125" style="3" customWidth="1"/>
    <col min="16167" max="16167" width="12.42578125" style="3" customWidth="1"/>
    <col min="16168" max="16168" width="12.42578125" style="3" bestFit="1" customWidth="1"/>
    <col min="16169" max="16169" width="12.140625" style="3" customWidth="1"/>
    <col min="16170" max="16170" width="8.5703125" style="3" customWidth="1"/>
    <col min="16171" max="16171" width="12.42578125" style="3" customWidth="1"/>
    <col min="16172" max="16172" width="12.42578125" style="3" bestFit="1" customWidth="1"/>
    <col min="16173" max="16173" width="12.140625" style="3" customWidth="1"/>
    <col min="16174" max="16174" width="8.5703125" style="3" customWidth="1"/>
    <col min="16175" max="16175" width="12.42578125" style="3" customWidth="1"/>
    <col min="16176" max="16176" width="12.42578125" style="3" bestFit="1" customWidth="1"/>
    <col min="16177" max="16177" width="12.140625" style="3" customWidth="1"/>
    <col min="16178" max="16178" width="8.5703125" style="3" customWidth="1"/>
    <col min="16179" max="16179" width="12.42578125" style="3" customWidth="1"/>
    <col min="16180" max="16180" width="14.28515625" style="3" customWidth="1"/>
    <col min="16181" max="16183" width="12.42578125" style="3" customWidth="1"/>
    <col min="16184" max="16184" width="17.85546875" style="3" customWidth="1"/>
    <col min="16185" max="16185" width="17.5703125" style="3" customWidth="1"/>
    <col min="16186" max="16186" width="14.28515625" style="3" customWidth="1"/>
    <col min="16187" max="16187" width="10.28515625" style="3" customWidth="1"/>
    <col min="16188" max="16326" width="8.85546875" style="3" customWidth="1"/>
    <col min="16327" max="16327" width="3.28515625" style="3" customWidth="1"/>
    <col min="16328" max="16328" width="4.7109375" style="3" customWidth="1"/>
    <col min="16329" max="16329" width="16.7109375" style="3" customWidth="1"/>
    <col min="16330" max="16361" width="8.85546875" style="3" customWidth="1"/>
    <col min="16362" max="16362" width="12" style="3" customWidth="1"/>
    <col min="16363" max="16364" width="8.85546875" style="3" customWidth="1"/>
    <col min="16365" max="16365" width="10.42578125" style="3" customWidth="1"/>
    <col min="16366" max="16366" width="12.85546875" style="3" customWidth="1"/>
    <col min="16367" max="16367" width="9.28515625" style="3" bestFit="1" customWidth="1"/>
    <col min="16368" max="16368" width="8.85546875" style="3" customWidth="1"/>
    <col min="16369" max="16369" width="11.7109375" style="3" customWidth="1"/>
    <col min="16370" max="16370" width="12.140625" style="3" customWidth="1"/>
    <col min="16371" max="16371" width="9.28515625" style="3" bestFit="1" customWidth="1"/>
    <col min="16372" max="16372" width="8.85546875" style="3" customWidth="1"/>
    <col min="16373" max="16374" width="11.7109375" style="3" customWidth="1"/>
    <col min="16375" max="16375" width="9.28515625" style="3" bestFit="1" customWidth="1"/>
    <col min="16376" max="16376" width="8.85546875" style="3" customWidth="1"/>
    <col min="16377" max="16377" width="11.85546875" style="3" bestFit="1" customWidth="1"/>
    <col min="16378" max="16379" width="8.85546875" style="3" customWidth="1"/>
    <col min="16380" max="16380" width="12.28515625" style="3" bestFit="1" customWidth="1"/>
    <col min="16381" max="16381" width="10.85546875" style="3" customWidth="1"/>
    <col min="16382" max="16382" width="9.7109375" style="3" customWidth="1"/>
    <col min="16383" max="16383" width="13.28515625" style="3" customWidth="1"/>
    <col min="16384" max="16384" width="9.5703125" style="3"/>
  </cols>
  <sheetData>
    <row r="2" spans="1:198">
      <c r="A2" s="1"/>
      <c r="B2" s="105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198" ht="12.75" customHeight="1">
      <c r="D3" s="432">
        <v>43101</v>
      </c>
      <c r="E3" s="433"/>
      <c r="F3" s="433"/>
      <c r="G3" s="434"/>
      <c r="H3" s="435">
        <v>43132</v>
      </c>
      <c r="I3" s="436"/>
      <c r="J3" s="436"/>
      <c r="K3" s="437"/>
      <c r="L3" s="438">
        <v>43160</v>
      </c>
      <c r="M3" s="439"/>
      <c r="N3" s="439"/>
      <c r="O3" s="440"/>
      <c r="P3" s="441">
        <v>43191</v>
      </c>
      <c r="Q3" s="442"/>
      <c r="R3" s="442"/>
      <c r="S3" s="443"/>
      <c r="T3" s="444">
        <v>43221</v>
      </c>
      <c r="U3" s="445"/>
      <c r="V3" s="445"/>
      <c r="W3" s="446"/>
      <c r="X3" s="447">
        <v>43252</v>
      </c>
      <c r="Y3" s="448"/>
      <c r="Z3" s="448"/>
      <c r="AA3" s="449"/>
      <c r="AB3" s="438">
        <v>43282</v>
      </c>
      <c r="AC3" s="439"/>
      <c r="AD3" s="439"/>
      <c r="AE3" s="440"/>
      <c r="AF3" s="435">
        <v>43313</v>
      </c>
      <c r="AG3" s="436"/>
      <c r="AH3" s="436"/>
      <c r="AI3" s="437"/>
      <c r="AJ3" s="450">
        <v>43344</v>
      </c>
      <c r="AK3" s="451"/>
      <c r="AL3" s="451"/>
      <c r="AM3" s="452"/>
      <c r="AN3" s="453">
        <v>43374</v>
      </c>
      <c r="AO3" s="454"/>
      <c r="AP3" s="454"/>
      <c r="AQ3" s="455"/>
      <c r="AR3" s="456">
        <v>43405</v>
      </c>
      <c r="AS3" s="457"/>
      <c r="AT3" s="457"/>
      <c r="AU3" s="458"/>
      <c r="AV3" s="429">
        <v>43435</v>
      </c>
      <c r="AW3" s="430"/>
      <c r="AX3" s="430"/>
      <c r="AY3" s="431"/>
      <c r="AZ3" s="4"/>
      <c r="BA3" s="4"/>
      <c r="BB3" s="4"/>
      <c r="BC3" s="4"/>
      <c r="BD3" s="3" t="s">
        <v>0</v>
      </c>
      <c r="BE3" s="5">
        <v>1021000</v>
      </c>
    </row>
    <row r="4" spans="1:198" ht="38.25" customHeight="1">
      <c r="A4" s="6" t="s">
        <v>1</v>
      </c>
      <c r="B4" s="106" t="s">
        <v>2</v>
      </c>
      <c r="C4" s="7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9" t="s">
        <v>4</v>
      </c>
      <c r="I4" s="9" t="s">
        <v>5</v>
      </c>
      <c r="J4" s="9" t="s">
        <v>6</v>
      </c>
      <c r="K4" s="9" t="s">
        <v>7</v>
      </c>
      <c r="L4" s="10" t="s">
        <v>4</v>
      </c>
      <c r="M4" s="10" t="s">
        <v>5</v>
      </c>
      <c r="N4" s="10" t="s">
        <v>6</v>
      </c>
      <c r="O4" s="10" t="s">
        <v>7</v>
      </c>
      <c r="P4" s="11" t="s">
        <v>4</v>
      </c>
      <c r="Q4" s="11" t="s">
        <v>5</v>
      </c>
      <c r="R4" s="11" t="s">
        <v>6</v>
      </c>
      <c r="S4" s="11" t="s">
        <v>7</v>
      </c>
      <c r="T4" s="12" t="s">
        <v>4</v>
      </c>
      <c r="U4" s="12" t="s">
        <v>5</v>
      </c>
      <c r="V4" s="12" t="s">
        <v>6</v>
      </c>
      <c r="W4" s="12" t="s">
        <v>7</v>
      </c>
      <c r="X4" s="13" t="s">
        <v>4</v>
      </c>
      <c r="Y4" s="13" t="s">
        <v>5</v>
      </c>
      <c r="Z4" s="13" t="s">
        <v>6</v>
      </c>
      <c r="AA4" s="13" t="s">
        <v>7</v>
      </c>
      <c r="AB4" s="10" t="s">
        <v>4</v>
      </c>
      <c r="AC4" s="10" t="s">
        <v>5</v>
      </c>
      <c r="AD4" s="10" t="s">
        <v>6</v>
      </c>
      <c r="AE4" s="10" t="s">
        <v>7</v>
      </c>
      <c r="AF4" s="9" t="s">
        <v>4</v>
      </c>
      <c r="AG4" s="9" t="s">
        <v>5</v>
      </c>
      <c r="AH4" s="9" t="s">
        <v>6</v>
      </c>
      <c r="AI4" s="9" t="s">
        <v>7</v>
      </c>
      <c r="AJ4" s="14" t="s">
        <v>4</v>
      </c>
      <c r="AK4" s="14" t="s">
        <v>5</v>
      </c>
      <c r="AL4" s="14" t="s">
        <v>6</v>
      </c>
      <c r="AM4" s="14" t="s">
        <v>7</v>
      </c>
      <c r="AN4" s="15" t="s">
        <v>4</v>
      </c>
      <c r="AO4" s="15" t="s">
        <v>5</v>
      </c>
      <c r="AP4" s="15" t="s">
        <v>6</v>
      </c>
      <c r="AQ4" s="15" t="s">
        <v>7</v>
      </c>
      <c r="AR4" s="16" t="s">
        <v>4</v>
      </c>
      <c r="AS4" s="16" t="s">
        <v>5</v>
      </c>
      <c r="AT4" s="16" t="s">
        <v>6</v>
      </c>
      <c r="AU4" s="16" t="s">
        <v>7</v>
      </c>
      <c r="AV4" s="17" t="s">
        <v>4</v>
      </c>
      <c r="AW4" s="17" t="s">
        <v>5</v>
      </c>
      <c r="AX4" s="17" t="s">
        <v>6</v>
      </c>
      <c r="AY4" s="17" t="s">
        <v>7</v>
      </c>
      <c r="AZ4" s="18"/>
      <c r="BA4" s="18"/>
      <c r="BB4" s="18"/>
      <c r="BC4" s="18"/>
      <c r="BD4" s="3" t="s">
        <v>8</v>
      </c>
      <c r="BE4" s="5">
        <v>815000</v>
      </c>
    </row>
    <row r="5" spans="1:198">
      <c r="A5" s="19">
        <v>1</v>
      </c>
      <c r="B5" s="24">
        <v>130</v>
      </c>
      <c r="C5" s="109" t="s">
        <v>9</v>
      </c>
      <c r="D5" s="25"/>
      <c r="E5" s="25"/>
      <c r="F5" s="166"/>
      <c r="G5" s="25">
        <f>(D5+E5)*30%</f>
        <v>0</v>
      </c>
      <c r="H5" s="25"/>
      <c r="I5" s="25"/>
      <c r="J5" s="166"/>
      <c r="K5" s="25">
        <f>(H5+I5)*30%</f>
        <v>0</v>
      </c>
      <c r="L5" s="25"/>
      <c r="M5" s="25"/>
      <c r="N5" s="166"/>
      <c r="O5" s="25">
        <f>(L5+M5)*30%</f>
        <v>0</v>
      </c>
      <c r="P5" s="25"/>
      <c r="Q5" s="25"/>
      <c r="R5" s="25"/>
      <c r="S5" s="25">
        <f>(P5+Q5)*30%</f>
        <v>0</v>
      </c>
      <c r="T5" s="25"/>
      <c r="U5" s="25"/>
      <c r="V5" s="166"/>
      <c r="W5" s="25">
        <f>(T5+U5)*30%</f>
        <v>0</v>
      </c>
      <c r="X5" s="25"/>
      <c r="Y5" s="25"/>
      <c r="Z5" s="166"/>
      <c r="AA5" s="25">
        <f>(X5+Y5)*30%</f>
        <v>0</v>
      </c>
      <c r="AB5" s="25"/>
      <c r="AC5" s="25"/>
      <c r="AD5" s="166"/>
      <c r="AE5" s="25">
        <f>(AB5+AC5)*30%</f>
        <v>0</v>
      </c>
      <c r="AF5" s="25"/>
      <c r="AG5" s="25"/>
      <c r="AH5" s="166"/>
      <c r="AI5" s="25">
        <f>(AF5+AG5)*30%</f>
        <v>0</v>
      </c>
      <c r="AJ5" s="25"/>
      <c r="AK5" s="25"/>
      <c r="AL5" s="25"/>
      <c r="AM5" s="25"/>
      <c r="AN5" s="25"/>
      <c r="AO5" s="25"/>
      <c r="AP5" s="26"/>
      <c r="AQ5" s="25"/>
      <c r="AR5" s="25"/>
      <c r="AS5" s="25"/>
      <c r="AT5" s="25"/>
      <c r="AU5" s="25"/>
      <c r="AV5" s="25"/>
      <c r="AW5" s="25"/>
      <c r="AX5" s="33"/>
      <c r="AY5" s="25"/>
      <c r="AZ5" s="28"/>
      <c r="BA5" s="28"/>
      <c r="BB5" s="28"/>
      <c r="BC5" s="28"/>
      <c r="BD5" s="21">
        <f>D5+E5+H5+I5+L5+M5+P5+Q5+T5+U5+X5+Y5+AB5+AC5+AF5+AG5+AJ5+AK5+AN5+AO5+AR5+AS5+AV5+AW5</f>
        <v>0</v>
      </c>
      <c r="BE5" s="22">
        <f>BE$3-BD5</f>
        <v>1021000</v>
      </c>
      <c r="BF5" s="22">
        <f>BE$4-BD5</f>
        <v>815000</v>
      </c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</row>
    <row r="6" spans="1:198">
      <c r="A6" s="19">
        <v>2</v>
      </c>
      <c r="B6" s="24">
        <v>132</v>
      </c>
      <c r="C6" s="109" t="s">
        <v>10</v>
      </c>
      <c r="D6" s="25"/>
      <c r="E6" s="25"/>
      <c r="F6" s="166"/>
      <c r="G6" s="25">
        <f t="shared" ref="G6:G55" si="0">(D6+E6)*30%</f>
        <v>0</v>
      </c>
      <c r="H6" s="25"/>
      <c r="I6" s="25"/>
      <c r="J6" s="166"/>
      <c r="K6" s="25">
        <f t="shared" ref="K6:K55" si="1">(H6+I6)*30%</f>
        <v>0</v>
      </c>
      <c r="L6" s="25"/>
      <c r="M6" s="25"/>
      <c r="N6" s="166"/>
      <c r="O6" s="25">
        <f t="shared" ref="O6:O55" si="2">(L6+M6)*30%</f>
        <v>0</v>
      </c>
      <c r="P6" s="25"/>
      <c r="Q6" s="25"/>
      <c r="R6" s="25"/>
      <c r="S6" s="25">
        <f t="shared" ref="S6:S55" si="3">(P6+Q6)*30%</f>
        <v>0</v>
      </c>
      <c r="T6" s="25"/>
      <c r="U6" s="25"/>
      <c r="V6" s="166"/>
      <c r="W6" s="25">
        <f t="shared" ref="W6:W55" si="4">(T6+U6)*30%</f>
        <v>0</v>
      </c>
      <c r="X6" s="25"/>
      <c r="Y6" s="25"/>
      <c r="Z6" s="166"/>
      <c r="AA6" s="25">
        <f t="shared" ref="AA6:AA55" si="5">(X6+Y6)*30%</f>
        <v>0</v>
      </c>
      <c r="AB6" s="25"/>
      <c r="AC6" s="25"/>
      <c r="AD6" s="166"/>
      <c r="AE6" s="25">
        <f t="shared" ref="AE6:AE55" si="6">(AB6+AC6)*30%</f>
        <v>0</v>
      </c>
      <c r="AF6" s="25"/>
      <c r="AG6" s="25"/>
      <c r="AH6" s="166"/>
      <c r="AI6" s="25">
        <f t="shared" ref="AI6:AI55" si="7">(AF6+AG6)*30%</f>
        <v>0</v>
      </c>
      <c r="AJ6" s="25"/>
      <c r="AK6" s="25"/>
      <c r="AL6" s="25"/>
      <c r="AM6" s="25"/>
      <c r="AN6" s="25"/>
      <c r="AO6" s="25"/>
      <c r="AP6" s="26"/>
      <c r="AQ6" s="25"/>
      <c r="AR6" s="25"/>
      <c r="AS6" s="25"/>
      <c r="AT6" s="25"/>
      <c r="AU6" s="25"/>
      <c r="AV6" s="25"/>
      <c r="AW6" s="25"/>
      <c r="AX6" s="33"/>
      <c r="AY6" s="25"/>
      <c r="AZ6" s="28"/>
      <c r="BA6" s="28"/>
      <c r="BB6" s="28"/>
      <c r="BC6" s="28"/>
      <c r="BD6" s="21">
        <f>D6+E6+H6+I6+L6+M6+P6+Q6+T6+U6+X6+Y6+AB6+AC6+AF6+AG6+AJ6+AK6+AN6+AO6+AR6+AS6+AV6+AW6</f>
        <v>0</v>
      </c>
      <c r="BE6" s="22">
        <f t="shared" ref="BE6:BE55" si="8">BE$3-BD6</f>
        <v>1021000</v>
      </c>
      <c r="BF6" s="22">
        <f t="shared" ref="BF6:BF55" si="9">BE$4-BD6</f>
        <v>815000</v>
      </c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</row>
    <row r="7" spans="1:198" s="41" customFormat="1">
      <c r="A7" s="19">
        <v>3</v>
      </c>
      <c r="B7" s="39">
        <v>64</v>
      </c>
      <c r="C7" s="118" t="s">
        <v>11</v>
      </c>
      <c r="D7" s="30">
        <v>32647.06</v>
      </c>
      <c r="E7" s="30"/>
      <c r="F7" s="53">
        <f>28/136</f>
        <v>0.20588235294117646</v>
      </c>
      <c r="G7" s="25">
        <f t="shared" si="0"/>
        <v>9794.1180000000004</v>
      </c>
      <c r="H7" s="30">
        <v>33311.26</v>
      </c>
      <c r="I7" s="30"/>
      <c r="J7" s="53">
        <f>32/151</f>
        <v>0.2119205298013245</v>
      </c>
      <c r="K7" s="25">
        <f t="shared" si="1"/>
        <v>9993.3780000000006</v>
      </c>
      <c r="L7" s="30">
        <v>32138.36</v>
      </c>
      <c r="M7" s="30"/>
      <c r="N7" s="53">
        <f>32/159</f>
        <v>0.20125786163522014</v>
      </c>
      <c r="O7" s="25">
        <f t="shared" si="2"/>
        <v>9641.5079999999998</v>
      </c>
      <c r="P7" s="30">
        <f>(110000*R7)+10000</f>
        <v>31077.844311377248</v>
      </c>
      <c r="Q7" s="30"/>
      <c r="R7" s="53">
        <f>32/167</f>
        <v>0.19161676646706588</v>
      </c>
      <c r="S7" s="25">
        <f t="shared" si="3"/>
        <v>9323.3532934131745</v>
      </c>
      <c r="T7" s="30">
        <f>(110000*V7)+10000</f>
        <v>34905.660377358494</v>
      </c>
      <c r="U7" s="30"/>
      <c r="V7" s="53">
        <f>36/159</f>
        <v>0.22641509433962265</v>
      </c>
      <c r="W7" s="25">
        <f t="shared" si="4"/>
        <v>10471.698113207547</v>
      </c>
      <c r="X7" s="30">
        <f>(110000*Z7)+10000</f>
        <v>29371.069182389936</v>
      </c>
      <c r="Y7" s="30"/>
      <c r="Z7" s="53">
        <f>28/159</f>
        <v>0.1761006289308176</v>
      </c>
      <c r="AA7" s="25">
        <f t="shared" si="5"/>
        <v>8811.3207547169804</v>
      </c>
      <c r="AB7" s="30">
        <f>(110000*AD7)+10000</f>
        <v>32500</v>
      </c>
      <c r="AC7" s="30"/>
      <c r="AD7" s="53">
        <f>36/176</f>
        <v>0.20454545454545456</v>
      </c>
      <c r="AE7" s="25">
        <f t="shared" si="6"/>
        <v>9750</v>
      </c>
      <c r="AF7" s="30">
        <f>(110000*AH7)+10000</f>
        <v>31521.739130434784</v>
      </c>
      <c r="AG7" s="30"/>
      <c r="AH7" s="53">
        <f>36/184</f>
        <v>0.19565217391304349</v>
      </c>
      <c r="AI7" s="25">
        <f t="shared" si="7"/>
        <v>9456.5217391304341</v>
      </c>
      <c r="AJ7" s="30"/>
      <c r="AK7" s="30"/>
      <c r="AL7" s="32"/>
      <c r="AM7" s="30"/>
      <c r="AN7" s="30"/>
      <c r="AO7" s="30"/>
      <c r="AP7" s="31"/>
      <c r="AQ7" s="30"/>
      <c r="AR7" s="30"/>
      <c r="AS7" s="30"/>
      <c r="AT7" s="31"/>
      <c r="AU7" s="30"/>
      <c r="AV7" s="30"/>
      <c r="AW7" s="30"/>
      <c r="AX7" s="32"/>
      <c r="AY7" s="30"/>
      <c r="AZ7" s="54"/>
      <c r="BA7" s="54"/>
      <c r="BB7" s="54"/>
      <c r="BC7" s="54"/>
      <c r="BD7" s="54">
        <f>D7+E7+H7+I7+L7+M7+P7+Q7+T7+U7+X7+Y7+AB7+AC7+AF7+AG7+AJ7+AK7+AN7+AO7+AR7+AS7+AV7+AW7</f>
        <v>257472.99300156048</v>
      </c>
      <c r="BE7" s="119">
        <f t="shared" si="8"/>
        <v>763527.00699843955</v>
      </c>
      <c r="BF7" s="119">
        <f t="shared" si="9"/>
        <v>557527.00699843955</v>
      </c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</row>
    <row r="8" spans="1:198">
      <c r="A8" s="19">
        <v>4</v>
      </c>
      <c r="B8" s="24">
        <v>158</v>
      </c>
      <c r="C8" s="109" t="s">
        <v>12</v>
      </c>
      <c r="D8" s="25"/>
      <c r="E8" s="25"/>
      <c r="F8" s="166"/>
      <c r="G8" s="25">
        <f t="shared" si="0"/>
        <v>0</v>
      </c>
      <c r="H8" s="25"/>
      <c r="I8" s="25"/>
      <c r="J8" s="166"/>
      <c r="K8" s="25">
        <f t="shared" si="1"/>
        <v>0</v>
      </c>
      <c r="L8" s="25"/>
      <c r="M8" s="25"/>
      <c r="N8" s="166"/>
      <c r="O8" s="25">
        <f t="shared" si="2"/>
        <v>0</v>
      </c>
      <c r="P8" s="25"/>
      <c r="Q8" s="25"/>
      <c r="R8" s="25"/>
      <c r="S8" s="25">
        <f t="shared" si="3"/>
        <v>0</v>
      </c>
      <c r="T8" s="25"/>
      <c r="U8" s="25"/>
      <c r="V8" s="166"/>
      <c r="W8" s="25">
        <f t="shared" si="4"/>
        <v>0</v>
      </c>
      <c r="X8" s="25"/>
      <c r="Y8" s="25"/>
      <c r="Z8" s="166"/>
      <c r="AA8" s="25">
        <f t="shared" si="5"/>
        <v>0</v>
      </c>
      <c r="AB8" s="25"/>
      <c r="AC8" s="25"/>
      <c r="AD8" s="166"/>
      <c r="AE8" s="25">
        <f t="shared" si="6"/>
        <v>0</v>
      </c>
      <c r="AF8" s="25"/>
      <c r="AG8" s="25"/>
      <c r="AH8" s="166"/>
      <c r="AI8" s="25">
        <f t="shared" si="7"/>
        <v>0</v>
      </c>
      <c r="AJ8" s="25"/>
      <c r="AK8" s="25"/>
      <c r="AL8" s="25"/>
      <c r="AM8" s="25"/>
      <c r="AN8" s="25"/>
      <c r="AO8" s="25"/>
      <c r="AP8" s="26"/>
      <c r="AQ8" s="25"/>
      <c r="AR8" s="25"/>
      <c r="AS8" s="25"/>
      <c r="AT8" s="26"/>
      <c r="AU8" s="25"/>
      <c r="AV8" s="25"/>
      <c r="AW8" s="25"/>
      <c r="AX8" s="33"/>
      <c r="AY8" s="25"/>
      <c r="AZ8" s="28"/>
      <c r="BA8" s="28"/>
      <c r="BB8" s="28"/>
      <c r="BC8" s="28"/>
      <c r="BD8" s="21">
        <f t="shared" ref="BD8:BD55" si="10">D8+E8+H8+I8+L8+M8+P8+Q8+T8+U8+X8+Y8+AB8+AC8+AF8+AG8+AJ8+AK8+AN8+AO8+AR8+AS8+AV8+AW8</f>
        <v>0</v>
      </c>
      <c r="BE8" s="22">
        <f t="shared" si="8"/>
        <v>1021000</v>
      </c>
      <c r="BF8" s="22">
        <f t="shared" si="9"/>
        <v>815000</v>
      </c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</row>
    <row r="9" spans="1:198">
      <c r="A9" s="19">
        <v>5</v>
      </c>
      <c r="B9" s="24">
        <v>185</v>
      </c>
      <c r="C9" s="109" t="s">
        <v>13</v>
      </c>
      <c r="D9" s="25"/>
      <c r="E9" s="25"/>
      <c r="F9" s="166"/>
      <c r="G9" s="25">
        <f t="shared" si="0"/>
        <v>0</v>
      </c>
      <c r="H9" s="25"/>
      <c r="I9" s="25"/>
      <c r="J9" s="166"/>
      <c r="K9" s="25">
        <f t="shared" si="1"/>
        <v>0</v>
      </c>
      <c r="L9" s="25"/>
      <c r="M9" s="25"/>
      <c r="N9" s="166"/>
      <c r="O9" s="25">
        <f t="shared" si="2"/>
        <v>0</v>
      </c>
      <c r="P9" s="25"/>
      <c r="Q9" s="25"/>
      <c r="R9" s="25"/>
      <c r="S9" s="25">
        <f t="shared" si="3"/>
        <v>0</v>
      </c>
      <c r="T9" s="25"/>
      <c r="U9" s="25"/>
      <c r="V9" s="166"/>
      <c r="W9" s="25">
        <f t="shared" si="4"/>
        <v>0</v>
      </c>
      <c r="X9" s="25"/>
      <c r="Y9" s="25"/>
      <c r="Z9" s="166"/>
      <c r="AA9" s="25">
        <f t="shared" si="5"/>
        <v>0</v>
      </c>
      <c r="AB9" s="25"/>
      <c r="AC9" s="25"/>
      <c r="AD9" s="166"/>
      <c r="AE9" s="25">
        <f t="shared" si="6"/>
        <v>0</v>
      </c>
      <c r="AF9" s="25"/>
      <c r="AG9" s="25"/>
      <c r="AH9" s="166"/>
      <c r="AI9" s="25">
        <f t="shared" si="7"/>
        <v>0</v>
      </c>
      <c r="AJ9" s="25"/>
      <c r="AK9" s="25"/>
      <c r="AL9" s="33"/>
      <c r="AM9" s="25"/>
      <c r="AN9" s="25"/>
      <c r="AO9" s="25"/>
      <c r="AP9" s="26"/>
      <c r="AQ9" s="25"/>
      <c r="AR9" s="25"/>
      <c r="AS9" s="25"/>
      <c r="AT9" s="26"/>
      <c r="AU9" s="25"/>
      <c r="AV9" s="25"/>
      <c r="AW9" s="25"/>
      <c r="AX9" s="33"/>
      <c r="AY9" s="25"/>
      <c r="AZ9" s="28"/>
      <c r="BA9" s="28"/>
      <c r="BB9" s="28"/>
      <c r="BC9" s="28"/>
      <c r="BD9" s="21">
        <f t="shared" si="10"/>
        <v>0</v>
      </c>
      <c r="BE9" s="22">
        <f t="shared" si="8"/>
        <v>1021000</v>
      </c>
      <c r="BF9" s="22">
        <f t="shared" si="9"/>
        <v>815000</v>
      </c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</row>
    <row r="10" spans="1:198">
      <c r="A10" s="19">
        <v>6</v>
      </c>
      <c r="B10" s="24">
        <v>219</v>
      </c>
      <c r="C10" s="109" t="s">
        <v>14</v>
      </c>
      <c r="D10" s="25"/>
      <c r="E10" s="25"/>
      <c r="F10" s="166"/>
      <c r="G10" s="25">
        <f t="shared" si="0"/>
        <v>0</v>
      </c>
      <c r="H10" s="25"/>
      <c r="I10" s="25"/>
      <c r="J10" s="166"/>
      <c r="K10" s="25">
        <f t="shared" si="1"/>
        <v>0</v>
      </c>
      <c r="L10" s="25"/>
      <c r="M10" s="25"/>
      <c r="N10" s="166"/>
      <c r="O10" s="25">
        <f t="shared" si="2"/>
        <v>0</v>
      </c>
      <c r="P10" s="25"/>
      <c r="Q10" s="25"/>
      <c r="R10" s="25"/>
      <c r="S10" s="25">
        <f t="shared" si="3"/>
        <v>0</v>
      </c>
      <c r="T10" s="25"/>
      <c r="U10" s="25"/>
      <c r="V10" s="166"/>
      <c r="W10" s="25">
        <f t="shared" si="4"/>
        <v>0</v>
      </c>
      <c r="X10" s="25"/>
      <c r="Y10" s="25"/>
      <c r="Z10" s="166"/>
      <c r="AA10" s="25">
        <f t="shared" si="5"/>
        <v>0</v>
      </c>
      <c r="AB10" s="25"/>
      <c r="AC10" s="25"/>
      <c r="AD10" s="166"/>
      <c r="AE10" s="25">
        <f t="shared" si="6"/>
        <v>0</v>
      </c>
      <c r="AF10" s="25"/>
      <c r="AG10" s="25"/>
      <c r="AH10" s="166"/>
      <c r="AI10" s="25">
        <f t="shared" si="7"/>
        <v>0</v>
      </c>
      <c r="AJ10" s="25"/>
      <c r="AK10" s="25"/>
      <c r="AL10" s="33"/>
      <c r="AM10" s="25"/>
      <c r="AN10" s="25"/>
      <c r="AO10" s="25"/>
      <c r="AP10" s="26"/>
      <c r="AQ10" s="25"/>
      <c r="AR10" s="25"/>
      <c r="AS10" s="25"/>
      <c r="AT10" s="26"/>
      <c r="AU10" s="25"/>
      <c r="AV10" s="25"/>
      <c r="AW10" s="25"/>
      <c r="AX10" s="33"/>
      <c r="AY10" s="25"/>
      <c r="AZ10" s="28"/>
      <c r="BA10" s="28"/>
      <c r="BB10" s="28"/>
      <c r="BC10" s="28"/>
      <c r="BD10" s="21">
        <f t="shared" si="10"/>
        <v>0</v>
      </c>
      <c r="BE10" s="22">
        <f t="shared" si="8"/>
        <v>1021000</v>
      </c>
      <c r="BF10" s="22">
        <f t="shared" si="9"/>
        <v>815000</v>
      </c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</row>
    <row r="11" spans="1:198">
      <c r="A11" s="19">
        <v>7</v>
      </c>
      <c r="B11" s="24">
        <v>157</v>
      </c>
      <c r="C11" s="109" t="s">
        <v>15</v>
      </c>
      <c r="D11" s="25"/>
      <c r="E11" s="25"/>
      <c r="F11" s="166"/>
      <c r="G11" s="25">
        <f t="shared" si="0"/>
        <v>0</v>
      </c>
      <c r="H11" s="25"/>
      <c r="I11" s="25"/>
      <c r="J11" s="166"/>
      <c r="K11" s="25">
        <f t="shared" si="1"/>
        <v>0</v>
      </c>
      <c r="L11" s="25"/>
      <c r="M11" s="25"/>
      <c r="N11" s="166"/>
      <c r="O11" s="25">
        <f t="shared" si="2"/>
        <v>0</v>
      </c>
      <c r="P11" s="25"/>
      <c r="Q11" s="25"/>
      <c r="R11" s="25"/>
      <c r="S11" s="25">
        <f t="shared" si="3"/>
        <v>0</v>
      </c>
      <c r="T11" s="25"/>
      <c r="U11" s="25"/>
      <c r="V11" s="166"/>
      <c r="W11" s="25">
        <f t="shared" si="4"/>
        <v>0</v>
      </c>
      <c r="X11" s="25"/>
      <c r="Y11" s="25"/>
      <c r="Z11" s="166"/>
      <c r="AA11" s="25">
        <f t="shared" si="5"/>
        <v>0</v>
      </c>
      <c r="AB11" s="25"/>
      <c r="AC11" s="25"/>
      <c r="AD11" s="166"/>
      <c r="AE11" s="25">
        <f t="shared" si="6"/>
        <v>0</v>
      </c>
      <c r="AF11" s="25"/>
      <c r="AG11" s="25"/>
      <c r="AH11" s="166"/>
      <c r="AI11" s="25">
        <f t="shared" si="7"/>
        <v>0</v>
      </c>
      <c r="AJ11" s="25"/>
      <c r="AK11" s="25"/>
      <c r="AL11" s="33"/>
      <c r="AM11" s="25"/>
      <c r="AN11" s="25"/>
      <c r="AO11" s="25"/>
      <c r="AP11" s="26"/>
      <c r="AQ11" s="25"/>
      <c r="AR11" s="25"/>
      <c r="AS11" s="25"/>
      <c r="AT11" s="26"/>
      <c r="AU11" s="25"/>
      <c r="AV11" s="25"/>
      <c r="AW11" s="25"/>
      <c r="AX11" s="33"/>
      <c r="AY11" s="25"/>
      <c r="AZ11" s="28"/>
      <c r="BA11" s="28"/>
      <c r="BB11" s="28"/>
      <c r="BC11" s="28"/>
      <c r="BD11" s="21">
        <f t="shared" si="10"/>
        <v>0</v>
      </c>
      <c r="BE11" s="22">
        <f t="shared" si="8"/>
        <v>1021000</v>
      </c>
      <c r="BF11" s="22">
        <f t="shared" si="9"/>
        <v>815000</v>
      </c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  <c r="FY11" s="29"/>
      <c r="FZ11" s="29"/>
      <c r="GA11" s="29"/>
      <c r="GB11" s="29"/>
      <c r="GC11" s="29"/>
      <c r="GD11" s="29"/>
      <c r="GE11" s="29"/>
      <c r="GF11" s="29"/>
      <c r="GG11" s="29"/>
      <c r="GH11" s="29"/>
      <c r="GI11" s="29"/>
      <c r="GJ11" s="29"/>
      <c r="GK11" s="29"/>
      <c r="GL11" s="29"/>
      <c r="GM11" s="29"/>
      <c r="GN11" s="29"/>
      <c r="GO11" s="29"/>
      <c r="GP11" s="29"/>
    </row>
    <row r="12" spans="1:198">
      <c r="A12" s="19">
        <v>8</v>
      </c>
      <c r="B12" s="24">
        <v>116</v>
      </c>
      <c r="C12" s="109" t="s">
        <v>16</v>
      </c>
      <c r="D12" s="25"/>
      <c r="E12" s="25"/>
      <c r="F12" s="166"/>
      <c r="G12" s="25">
        <f t="shared" si="0"/>
        <v>0</v>
      </c>
      <c r="H12" s="25"/>
      <c r="I12" s="25"/>
      <c r="J12" s="166"/>
      <c r="K12" s="25">
        <f t="shared" si="1"/>
        <v>0</v>
      </c>
      <c r="L12" s="25"/>
      <c r="M12" s="25"/>
      <c r="N12" s="166"/>
      <c r="O12" s="25">
        <f t="shared" si="2"/>
        <v>0</v>
      </c>
      <c r="P12" s="25"/>
      <c r="Q12" s="25"/>
      <c r="R12" s="25"/>
      <c r="S12" s="25">
        <f t="shared" si="3"/>
        <v>0</v>
      </c>
      <c r="T12" s="25"/>
      <c r="U12" s="25"/>
      <c r="V12" s="166"/>
      <c r="W12" s="25">
        <f t="shared" si="4"/>
        <v>0</v>
      </c>
      <c r="X12" s="25"/>
      <c r="Y12" s="25"/>
      <c r="Z12" s="166"/>
      <c r="AA12" s="25">
        <f t="shared" si="5"/>
        <v>0</v>
      </c>
      <c r="AB12" s="25"/>
      <c r="AC12" s="25"/>
      <c r="AD12" s="166"/>
      <c r="AE12" s="25">
        <f t="shared" si="6"/>
        <v>0</v>
      </c>
      <c r="AF12" s="25"/>
      <c r="AG12" s="25"/>
      <c r="AH12" s="166"/>
      <c r="AI12" s="25">
        <f t="shared" si="7"/>
        <v>0</v>
      </c>
      <c r="AJ12" s="25"/>
      <c r="AK12" s="25"/>
      <c r="AL12" s="33"/>
      <c r="AM12" s="25"/>
      <c r="AN12" s="25"/>
      <c r="AO12" s="25"/>
      <c r="AP12" s="26"/>
      <c r="AQ12" s="25"/>
      <c r="AR12" s="25"/>
      <c r="AS12" s="25"/>
      <c r="AT12" s="26"/>
      <c r="AU12" s="25"/>
      <c r="AV12" s="25"/>
      <c r="AW12" s="25"/>
      <c r="AX12" s="33"/>
      <c r="AY12" s="25"/>
      <c r="AZ12" s="28"/>
      <c r="BA12" s="28"/>
      <c r="BB12" s="28"/>
      <c r="BC12" s="28"/>
      <c r="BD12" s="21">
        <f t="shared" si="10"/>
        <v>0</v>
      </c>
      <c r="BE12" s="22">
        <f t="shared" si="8"/>
        <v>1021000</v>
      </c>
      <c r="BF12" s="22">
        <f t="shared" si="9"/>
        <v>815000</v>
      </c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</row>
    <row r="13" spans="1:198" ht="14.25">
      <c r="A13" s="19">
        <v>9</v>
      </c>
      <c r="B13" s="24">
        <v>129</v>
      </c>
      <c r="C13" s="109" t="s">
        <v>17</v>
      </c>
      <c r="D13" s="25"/>
      <c r="E13" s="25"/>
      <c r="F13" s="166"/>
      <c r="G13" s="25">
        <f t="shared" si="0"/>
        <v>0</v>
      </c>
      <c r="H13" s="25"/>
      <c r="I13" s="25"/>
      <c r="J13" s="166"/>
      <c r="K13" s="25">
        <f t="shared" si="1"/>
        <v>0</v>
      </c>
      <c r="L13" s="25"/>
      <c r="M13" s="25"/>
      <c r="N13" s="166"/>
      <c r="O13" s="25">
        <f t="shared" si="2"/>
        <v>0</v>
      </c>
      <c r="P13" s="25"/>
      <c r="Q13" s="25"/>
      <c r="R13" s="25"/>
      <c r="S13" s="25">
        <f t="shared" si="3"/>
        <v>0</v>
      </c>
      <c r="T13" s="25"/>
      <c r="U13" s="25"/>
      <c r="V13" s="166"/>
      <c r="W13" s="25">
        <f t="shared" si="4"/>
        <v>0</v>
      </c>
      <c r="X13" s="25"/>
      <c r="Y13" s="25"/>
      <c r="Z13" s="166"/>
      <c r="AA13" s="25">
        <f t="shared" si="5"/>
        <v>0</v>
      </c>
      <c r="AB13" s="25"/>
      <c r="AC13" s="25"/>
      <c r="AD13" s="166"/>
      <c r="AE13" s="25">
        <f t="shared" si="6"/>
        <v>0</v>
      </c>
      <c r="AF13" s="25"/>
      <c r="AG13" s="25"/>
      <c r="AH13" s="166"/>
      <c r="AI13" s="25">
        <f t="shared" si="7"/>
        <v>0</v>
      </c>
      <c r="AJ13" s="25"/>
      <c r="AK13" s="25"/>
      <c r="AL13" s="33"/>
      <c r="AM13" s="25"/>
      <c r="AN13" s="35"/>
      <c r="AO13" s="25"/>
      <c r="AP13" s="26"/>
      <c r="AQ13" s="25"/>
      <c r="AR13" s="25"/>
      <c r="AS13" s="25"/>
      <c r="AT13" s="26"/>
      <c r="AU13" s="25"/>
      <c r="AV13" s="25"/>
      <c r="AW13" s="25"/>
      <c r="AX13" s="33"/>
      <c r="AY13" s="25"/>
      <c r="AZ13" s="28"/>
      <c r="BA13" s="28"/>
      <c r="BB13" s="28"/>
      <c r="BC13" s="28"/>
      <c r="BD13" s="21">
        <f t="shared" si="10"/>
        <v>0</v>
      </c>
      <c r="BE13" s="22">
        <f t="shared" si="8"/>
        <v>1021000</v>
      </c>
      <c r="BF13" s="22">
        <f t="shared" si="9"/>
        <v>815000</v>
      </c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  <c r="FY13" s="29"/>
      <c r="FZ13" s="29"/>
      <c r="GA13" s="29"/>
      <c r="GB13" s="29"/>
      <c r="GC13" s="29"/>
      <c r="GD13" s="29"/>
      <c r="GE13" s="29"/>
      <c r="GF13" s="29"/>
      <c r="GG13" s="29"/>
      <c r="GH13" s="29"/>
      <c r="GI13" s="29"/>
      <c r="GJ13" s="29"/>
      <c r="GK13" s="29"/>
      <c r="GL13" s="29"/>
      <c r="GM13" s="29"/>
      <c r="GN13" s="29"/>
      <c r="GO13" s="29"/>
      <c r="GP13" s="29"/>
    </row>
    <row r="14" spans="1:198">
      <c r="A14" s="19">
        <v>10</v>
      </c>
      <c r="B14" s="24">
        <v>179</v>
      </c>
      <c r="C14" s="109" t="s">
        <v>18</v>
      </c>
      <c r="D14" s="25"/>
      <c r="E14" s="25"/>
      <c r="F14" s="166"/>
      <c r="G14" s="25">
        <f t="shared" si="0"/>
        <v>0</v>
      </c>
      <c r="H14" s="25"/>
      <c r="I14" s="25"/>
      <c r="J14" s="166"/>
      <c r="K14" s="25">
        <f t="shared" si="1"/>
        <v>0</v>
      </c>
      <c r="L14" s="25"/>
      <c r="M14" s="25"/>
      <c r="N14" s="166"/>
      <c r="O14" s="25">
        <f t="shared" si="2"/>
        <v>0</v>
      </c>
      <c r="P14" s="25"/>
      <c r="Q14" s="25"/>
      <c r="R14" s="25"/>
      <c r="S14" s="25">
        <f t="shared" si="3"/>
        <v>0</v>
      </c>
      <c r="T14" s="25"/>
      <c r="U14" s="25"/>
      <c r="V14" s="166"/>
      <c r="W14" s="25">
        <f t="shared" si="4"/>
        <v>0</v>
      </c>
      <c r="X14" s="25"/>
      <c r="Y14" s="25"/>
      <c r="Z14" s="166"/>
      <c r="AA14" s="25">
        <f t="shared" si="5"/>
        <v>0</v>
      </c>
      <c r="AB14" s="25"/>
      <c r="AC14" s="25"/>
      <c r="AD14" s="166"/>
      <c r="AE14" s="25">
        <f t="shared" si="6"/>
        <v>0</v>
      </c>
      <c r="AF14" s="25"/>
      <c r="AG14" s="25"/>
      <c r="AH14" s="166"/>
      <c r="AI14" s="25">
        <f t="shared" si="7"/>
        <v>0</v>
      </c>
      <c r="AJ14" s="25"/>
      <c r="AK14" s="25"/>
      <c r="AL14" s="33"/>
      <c r="AM14" s="25"/>
      <c r="AN14" s="25"/>
      <c r="AO14" s="25"/>
      <c r="AP14" s="26"/>
      <c r="AQ14" s="25"/>
      <c r="AR14" s="25"/>
      <c r="AS14" s="25"/>
      <c r="AT14" s="26"/>
      <c r="AU14" s="25"/>
      <c r="AV14" s="25"/>
      <c r="AW14" s="25"/>
      <c r="AX14" s="33"/>
      <c r="AY14" s="25"/>
      <c r="AZ14" s="28"/>
      <c r="BA14" s="28"/>
      <c r="BB14" s="28"/>
      <c r="BC14" s="28"/>
      <c r="BD14" s="21">
        <f t="shared" si="10"/>
        <v>0</v>
      </c>
      <c r="BE14" s="22">
        <f t="shared" si="8"/>
        <v>1021000</v>
      </c>
      <c r="BF14" s="22">
        <f t="shared" si="9"/>
        <v>815000</v>
      </c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</row>
    <row r="15" spans="1:198" s="41" customFormat="1">
      <c r="A15" s="19">
        <v>11</v>
      </c>
      <c r="B15" s="39">
        <v>74</v>
      </c>
      <c r="C15" s="118" t="s">
        <v>19</v>
      </c>
      <c r="D15" s="30">
        <v>33970.589999999997</v>
      </c>
      <c r="E15" s="30"/>
      <c r="F15" s="53">
        <f>28/136</f>
        <v>0.20588235294117646</v>
      </c>
      <c r="G15" s="25">
        <f t="shared" si="0"/>
        <v>10191.176999999998</v>
      </c>
      <c r="H15" s="30">
        <v>34966.89</v>
      </c>
      <c r="I15" s="30"/>
      <c r="J15" s="53">
        <f>32/151</f>
        <v>0.2119205298013245</v>
      </c>
      <c r="K15" s="25">
        <f t="shared" si="1"/>
        <v>10490.066999999999</v>
      </c>
      <c r="L15" s="30">
        <v>33207.550000000003</v>
      </c>
      <c r="M15" s="30"/>
      <c r="N15" s="53">
        <f>32/159</f>
        <v>0.20125786163522014</v>
      </c>
      <c r="O15" s="25">
        <f t="shared" si="2"/>
        <v>9962.2650000000012</v>
      </c>
      <c r="P15" s="30">
        <f>165000*R15</f>
        <v>31616.766467065871</v>
      </c>
      <c r="Q15" s="30"/>
      <c r="R15" s="53">
        <f>32/167</f>
        <v>0.19161676646706588</v>
      </c>
      <c r="S15" s="25">
        <f t="shared" si="3"/>
        <v>9485.0299401197608</v>
      </c>
      <c r="T15" s="30">
        <f>165000*V15</f>
        <v>37358.490566037734</v>
      </c>
      <c r="U15" s="30"/>
      <c r="V15" s="53">
        <f>36/159</f>
        <v>0.22641509433962265</v>
      </c>
      <c r="W15" s="25">
        <f t="shared" si="4"/>
        <v>11207.54716981132</v>
      </c>
      <c r="X15" s="30">
        <f>165000*Z15</f>
        <v>29056.603773584902</v>
      </c>
      <c r="Y15" s="30"/>
      <c r="Z15" s="53">
        <f>28/159</f>
        <v>0.1761006289308176</v>
      </c>
      <c r="AA15" s="25">
        <f t="shared" si="5"/>
        <v>8716.9811320754707</v>
      </c>
      <c r="AB15" s="30">
        <f>165000*AD15</f>
        <v>33750</v>
      </c>
      <c r="AC15" s="30"/>
      <c r="AD15" s="53">
        <f>36/176</f>
        <v>0.20454545454545456</v>
      </c>
      <c r="AE15" s="25">
        <f t="shared" si="6"/>
        <v>10125</v>
      </c>
      <c r="AF15" s="30">
        <f>165000*AH15</f>
        <v>32282.608695652176</v>
      </c>
      <c r="AG15" s="30"/>
      <c r="AH15" s="53">
        <f>36/184</f>
        <v>0.19565217391304349</v>
      </c>
      <c r="AI15" s="25">
        <f t="shared" si="7"/>
        <v>9684.782608695652</v>
      </c>
      <c r="AJ15" s="30"/>
      <c r="AK15" s="30"/>
      <c r="AL15" s="32"/>
      <c r="AM15" s="30"/>
      <c r="AN15" s="30"/>
      <c r="AO15" s="30"/>
      <c r="AP15" s="31"/>
      <c r="AQ15" s="30"/>
      <c r="AR15" s="30"/>
      <c r="AS15" s="30"/>
      <c r="AT15" s="31"/>
      <c r="AU15" s="30"/>
      <c r="AV15" s="30"/>
      <c r="AW15" s="30"/>
      <c r="AX15" s="32"/>
      <c r="AY15" s="30"/>
      <c r="AZ15" s="54"/>
      <c r="BA15" s="54"/>
      <c r="BB15" s="54"/>
      <c r="BC15" s="54"/>
      <c r="BD15" s="54">
        <f t="shared" si="10"/>
        <v>266209.49950234068</v>
      </c>
      <c r="BE15" s="119">
        <f t="shared" si="8"/>
        <v>754790.50049765932</v>
      </c>
      <c r="BF15" s="119">
        <f t="shared" si="9"/>
        <v>548790.50049765932</v>
      </c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</row>
    <row r="16" spans="1:198">
      <c r="A16" s="19">
        <v>12</v>
      </c>
      <c r="B16" s="24">
        <v>174</v>
      </c>
      <c r="C16" s="109" t="s">
        <v>20</v>
      </c>
      <c r="D16" s="25"/>
      <c r="E16" s="25"/>
      <c r="F16" s="166"/>
      <c r="G16" s="25">
        <f t="shared" si="0"/>
        <v>0</v>
      </c>
      <c r="H16" s="25"/>
      <c r="I16" s="25"/>
      <c r="J16" s="166"/>
      <c r="K16" s="25">
        <f t="shared" si="1"/>
        <v>0</v>
      </c>
      <c r="L16" s="25"/>
      <c r="M16" s="25"/>
      <c r="N16" s="166"/>
      <c r="O16" s="25">
        <f t="shared" si="2"/>
        <v>0</v>
      </c>
      <c r="P16" s="25"/>
      <c r="Q16" s="25"/>
      <c r="R16" s="25"/>
      <c r="S16" s="25">
        <f t="shared" si="3"/>
        <v>0</v>
      </c>
      <c r="T16" s="25"/>
      <c r="U16" s="25"/>
      <c r="V16" s="166"/>
      <c r="W16" s="25">
        <f t="shared" si="4"/>
        <v>0</v>
      </c>
      <c r="X16" s="25"/>
      <c r="Y16" s="25"/>
      <c r="Z16" s="166"/>
      <c r="AA16" s="25">
        <f t="shared" si="5"/>
        <v>0</v>
      </c>
      <c r="AB16" s="25"/>
      <c r="AC16" s="25"/>
      <c r="AD16" s="166"/>
      <c r="AE16" s="25">
        <f t="shared" si="6"/>
        <v>0</v>
      </c>
      <c r="AF16" s="25"/>
      <c r="AG16" s="25"/>
      <c r="AH16" s="166"/>
      <c r="AI16" s="25">
        <f t="shared" si="7"/>
        <v>0</v>
      </c>
      <c r="AJ16" s="25"/>
      <c r="AK16" s="25"/>
      <c r="AL16" s="33"/>
      <c r="AM16" s="25"/>
      <c r="AN16" s="25"/>
      <c r="AO16" s="25"/>
      <c r="AP16" s="26"/>
      <c r="AQ16" s="25"/>
      <c r="AR16" s="25"/>
      <c r="AS16" s="25"/>
      <c r="AT16" s="26"/>
      <c r="AU16" s="25"/>
      <c r="AV16" s="25"/>
      <c r="AW16" s="25"/>
      <c r="AX16" s="33"/>
      <c r="AY16" s="25"/>
      <c r="AZ16" s="28"/>
      <c r="BA16" s="28"/>
      <c r="BB16" s="28"/>
      <c r="BC16" s="28"/>
      <c r="BD16" s="21">
        <f t="shared" si="10"/>
        <v>0</v>
      </c>
      <c r="BE16" s="22">
        <f t="shared" si="8"/>
        <v>1021000</v>
      </c>
      <c r="BF16" s="22">
        <f t="shared" si="9"/>
        <v>815000</v>
      </c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  <c r="FY16" s="29"/>
      <c r="FZ16" s="29"/>
      <c r="GA16" s="29"/>
      <c r="GB16" s="29"/>
      <c r="GC16" s="29"/>
      <c r="GD16" s="29"/>
      <c r="GE16" s="29"/>
      <c r="GF16" s="29"/>
      <c r="GG16" s="29"/>
      <c r="GH16" s="29"/>
      <c r="GI16" s="29"/>
      <c r="GJ16" s="29"/>
      <c r="GK16" s="29"/>
      <c r="GL16" s="29"/>
      <c r="GM16" s="29"/>
      <c r="GN16" s="29"/>
      <c r="GO16" s="29"/>
      <c r="GP16" s="29"/>
    </row>
    <row r="17" spans="1:198" s="34" customFormat="1">
      <c r="A17" s="19">
        <v>13</v>
      </c>
      <c r="B17" s="133">
        <v>233</v>
      </c>
      <c r="C17" s="134" t="s">
        <v>21</v>
      </c>
      <c r="D17" s="20">
        <v>56470.59</v>
      </c>
      <c r="E17" s="20"/>
      <c r="F17" s="167">
        <f>96/136</f>
        <v>0.70588235294117652</v>
      </c>
      <c r="G17" s="20">
        <f t="shared" si="0"/>
        <v>16941.177</v>
      </c>
      <c r="H17" s="20"/>
      <c r="I17" s="20">
        <v>3469.46</v>
      </c>
      <c r="J17" s="167"/>
      <c r="K17" s="20">
        <f t="shared" si="1"/>
        <v>1040.838</v>
      </c>
      <c r="L17" s="25"/>
      <c r="M17" s="25"/>
      <c r="N17" s="166"/>
      <c r="O17" s="25">
        <f t="shared" si="2"/>
        <v>0</v>
      </c>
      <c r="P17" s="25"/>
      <c r="Q17" s="25"/>
      <c r="R17" s="25"/>
      <c r="S17" s="25">
        <f t="shared" si="3"/>
        <v>0</v>
      </c>
      <c r="T17" s="25"/>
      <c r="U17" s="25"/>
      <c r="V17" s="166"/>
      <c r="W17" s="25">
        <f t="shared" si="4"/>
        <v>0</v>
      </c>
      <c r="X17" s="25"/>
      <c r="Y17" s="25"/>
      <c r="Z17" s="166"/>
      <c r="AA17" s="25">
        <f t="shared" si="5"/>
        <v>0</v>
      </c>
      <c r="AB17" s="25"/>
      <c r="AC17" s="25"/>
      <c r="AD17" s="166"/>
      <c r="AE17" s="25">
        <f t="shared" si="6"/>
        <v>0</v>
      </c>
      <c r="AF17" s="25"/>
      <c r="AG17" s="25"/>
      <c r="AH17" s="166"/>
      <c r="AI17" s="25">
        <f t="shared" si="7"/>
        <v>0</v>
      </c>
      <c r="AJ17" s="25"/>
      <c r="AK17" s="25"/>
      <c r="AL17" s="26"/>
      <c r="AM17" s="25"/>
      <c r="AN17" s="25"/>
      <c r="AO17" s="25"/>
      <c r="AP17" s="26"/>
      <c r="AQ17" s="25"/>
      <c r="AR17" s="25"/>
      <c r="AS17" s="25"/>
      <c r="AT17" s="26"/>
      <c r="AU17" s="25"/>
      <c r="AV17" s="25"/>
      <c r="AW17" s="25"/>
      <c r="AX17" s="26"/>
      <c r="AY17" s="25"/>
      <c r="AZ17" s="21"/>
      <c r="BA17" s="21"/>
      <c r="BB17" s="21"/>
      <c r="BC17" s="21"/>
      <c r="BD17" s="21">
        <f t="shared" si="10"/>
        <v>59940.049999999996</v>
      </c>
      <c r="BE17" s="22">
        <f t="shared" si="8"/>
        <v>961059.95</v>
      </c>
      <c r="BF17" s="22">
        <f t="shared" si="9"/>
        <v>755059.95</v>
      </c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</row>
    <row r="18" spans="1:198" s="41" customFormat="1">
      <c r="A18" s="19">
        <v>14</v>
      </c>
      <c r="B18" s="39">
        <v>13</v>
      </c>
      <c r="C18" s="118" t="s">
        <v>22</v>
      </c>
      <c r="D18" s="30">
        <v>36235.300000000003</v>
      </c>
      <c r="E18" s="30"/>
      <c r="F18" s="53">
        <f>28/136</f>
        <v>0.20588235294117646</v>
      </c>
      <c r="G18" s="25">
        <f t="shared" si="0"/>
        <v>10870.59</v>
      </c>
      <c r="H18" s="30">
        <v>37298.01</v>
      </c>
      <c r="I18" s="30"/>
      <c r="J18" s="53">
        <f>32/151</f>
        <v>0.2119205298013245</v>
      </c>
      <c r="K18" s="25">
        <f t="shared" si="1"/>
        <v>11189.403</v>
      </c>
      <c r="L18" s="30">
        <v>35421.39</v>
      </c>
      <c r="M18" s="30"/>
      <c r="N18" s="53">
        <f>32/159</f>
        <v>0.20125786163522014</v>
      </c>
      <c r="O18" s="25">
        <f t="shared" si="2"/>
        <v>10626.416999999999</v>
      </c>
      <c r="P18" s="30">
        <f>176000*R18</f>
        <v>33724.550898203597</v>
      </c>
      <c r="Q18" s="30"/>
      <c r="R18" s="53">
        <f>32/167</f>
        <v>0.19161676646706588</v>
      </c>
      <c r="S18" s="25">
        <f t="shared" si="3"/>
        <v>10117.365269461079</v>
      </c>
      <c r="T18" s="30">
        <f>176000*V18</f>
        <v>39849.056603773584</v>
      </c>
      <c r="U18" s="30"/>
      <c r="V18" s="53">
        <f>36/159</f>
        <v>0.22641509433962265</v>
      </c>
      <c r="W18" s="25">
        <f t="shared" si="4"/>
        <v>11954.716981132075</v>
      </c>
      <c r="X18" s="30">
        <f>176000*Z18</f>
        <v>30993.710691823897</v>
      </c>
      <c r="Y18" s="30"/>
      <c r="Z18" s="53">
        <f>28/159</f>
        <v>0.1761006289308176</v>
      </c>
      <c r="AA18" s="25">
        <f t="shared" si="5"/>
        <v>9298.1132075471687</v>
      </c>
      <c r="AB18" s="30">
        <f>176000*AD18</f>
        <v>36000</v>
      </c>
      <c r="AC18" s="30"/>
      <c r="AD18" s="53">
        <f>36/176</f>
        <v>0.20454545454545456</v>
      </c>
      <c r="AE18" s="25">
        <f t="shared" si="6"/>
        <v>10800</v>
      </c>
      <c r="AF18" s="30">
        <f>176000*AH18</f>
        <v>34434.782608695656</v>
      </c>
      <c r="AG18" s="30"/>
      <c r="AH18" s="53">
        <f>36/184</f>
        <v>0.19565217391304349</v>
      </c>
      <c r="AI18" s="25">
        <f t="shared" si="7"/>
        <v>10330.434782608696</v>
      </c>
      <c r="AJ18" s="30"/>
      <c r="AK18" s="30"/>
      <c r="AL18" s="32"/>
      <c r="AM18" s="30"/>
      <c r="AN18" s="30"/>
      <c r="AO18" s="30"/>
      <c r="AP18" s="31"/>
      <c r="AQ18" s="30"/>
      <c r="AR18" s="30"/>
      <c r="AS18" s="30"/>
      <c r="AT18" s="31"/>
      <c r="AU18" s="30"/>
      <c r="AV18" s="30"/>
      <c r="AW18" s="30"/>
      <c r="AX18" s="32"/>
      <c r="AY18" s="30"/>
      <c r="AZ18" s="54"/>
      <c r="BA18" s="54"/>
      <c r="BB18" s="54"/>
      <c r="BC18" s="54"/>
      <c r="BD18" s="54">
        <f t="shared" si="10"/>
        <v>283956.80080249673</v>
      </c>
      <c r="BE18" s="119">
        <f t="shared" si="8"/>
        <v>737043.19919750327</v>
      </c>
      <c r="BF18" s="119">
        <f t="shared" si="9"/>
        <v>531043.19919750327</v>
      </c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</row>
    <row r="19" spans="1:198" s="117" customFormat="1">
      <c r="A19" s="19">
        <v>15</v>
      </c>
      <c r="B19" s="110">
        <v>140</v>
      </c>
      <c r="C19" s="111" t="s">
        <v>23</v>
      </c>
      <c r="D19" s="112"/>
      <c r="E19" s="112"/>
      <c r="F19" s="168"/>
      <c r="G19" s="25">
        <f t="shared" si="0"/>
        <v>0</v>
      </c>
      <c r="H19" s="112"/>
      <c r="I19" s="112"/>
      <c r="J19" s="168"/>
      <c r="K19" s="25">
        <f t="shared" si="1"/>
        <v>0</v>
      </c>
      <c r="L19" s="112"/>
      <c r="M19" s="112"/>
      <c r="N19" s="168"/>
      <c r="O19" s="25">
        <f t="shared" si="2"/>
        <v>0</v>
      </c>
      <c r="P19" s="112"/>
      <c r="Q19" s="112"/>
      <c r="R19" s="112"/>
      <c r="S19" s="25">
        <f t="shared" si="3"/>
        <v>0</v>
      </c>
      <c r="T19" s="112"/>
      <c r="U19" s="112"/>
      <c r="V19" s="168"/>
      <c r="W19" s="25">
        <f t="shared" si="4"/>
        <v>0</v>
      </c>
      <c r="X19" s="112"/>
      <c r="Y19" s="112"/>
      <c r="Z19" s="168"/>
      <c r="AA19" s="25">
        <f t="shared" si="5"/>
        <v>0</v>
      </c>
      <c r="AB19" s="112"/>
      <c r="AC19" s="112"/>
      <c r="AD19" s="168"/>
      <c r="AE19" s="25">
        <f t="shared" si="6"/>
        <v>0</v>
      </c>
      <c r="AF19" s="112"/>
      <c r="AG19" s="112"/>
      <c r="AH19" s="168"/>
      <c r="AI19" s="25">
        <f t="shared" si="7"/>
        <v>0</v>
      </c>
      <c r="AJ19" s="112"/>
      <c r="AK19" s="112"/>
      <c r="AL19" s="27"/>
      <c r="AM19" s="112"/>
      <c r="AN19" s="112"/>
      <c r="AO19" s="112"/>
      <c r="AP19" s="113"/>
      <c r="AQ19" s="112"/>
      <c r="AR19" s="112"/>
      <c r="AS19" s="112"/>
      <c r="AT19" s="113"/>
      <c r="AU19" s="112"/>
      <c r="AV19" s="112"/>
      <c r="AW19" s="112"/>
      <c r="AX19" s="27"/>
      <c r="AY19" s="112"/>
      <c r="AZ19" s="114"/>
      <c r="BA19" s="114"/>
      <c r="BB19" s="114"/>
      <c r="BC19" s="114"/>
      <c r="BD19" s="114">
        <f t="shared" si="10"/>
        <v>0</v>
      </c>
      <c r="BE19" s="115">
        <f t="shared" si="8"/>
        <v>1021000</v>
      </c>
      <c r="BF19" s="115">
        <f t="shared" si="9"/>
        <v>815000</v>
      </c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6"/>
      <c r="ES19" s="116"/>
      <c r="ET19" s="116"/>
      <c r="EU19" s="116"/>
      <c r="EV19" s="116"/>
      <c r="EW19" s="116"/>
      <c r="EX19" s="116"/>
      <c r="EY19" s="116"/>
      <c r="EZ19" s="116"/>
      <c r="FA19" s="116"/>
      <c r="FB19" s="116"/>
      <c r="FC19" s="116"/>
      <c r="FD19" s="116"/>
      <c r="FE19" s="116"/>
      <c r="FF19" s="116"/>
      <c r="FG19" s="116"/>
      <c r="FH19" s="116"/>
      <c r="FI19" s="116"/>
      <c r="FJ19" s="116"/>
      <c r="FK19" s="116"/>
      <c r="FL19" s="116"/>
      <c r="FM19" s="116"/>
      <c r="FN19" s="116"/>
      <c r="FO19" s="116"/>
      <c r="FP19" s="116"/>
      <c r="FQ19" s="116"/>
      <c r="FR19" s="116"/>
      <c r="FS19" s="116"/>
      <c r="FT19" s="116"/>
      <c r="FU19" s="116"/>
      <c r="FV19" s="116"/>
      <c r="FW19" s="116"/>
      <c r="FX19" s="116"/>
      <c r="FY19" s="116"/>
      <c r="FZ19" s="116"/>
      <c r="GA19" s="116"/>
      <c r="GB19" s="116"/>
      <c r="GC19" s="116"/>
      <c r="GD19" s="116"/>
      <c r="GE19" s="116"/>
      <c r="GF19" s="116"/>
      <c r="GG19" s="116"/>
      <c r="GH19" s="116"/>
      <c r="GI19" s="116"/>
      <c r="GJ19" s="116"/>
      <c r="GK19" s="116"/>
      <c r="GL19" s="116"/>
      <c r="GM19" s="116"/>
      <c r="GN19" s="116"/>
      <c r="GO19" s="116"/>
      <c r="GP19" s="116"/>
    </row>
    <row r="20" spans="1:198" s="41" customFormat="1">
      <c r="A20" s="19">
        <v>16</v>
      </c>
      <c r="B20" s="39">
        <v>136</v>
      </c>
      <c r="C20" s="118" t="s">
        <v>24</v>
      </c>
      <c r="D20" s="30">
        <v>24705.88</v>
      </c>
      <c r="E20" s="30"/>
      <c r="F20" s="53">
        <f>28/136</f>
        <v>0.20588235294117646</v>
      </c>
      <c r="G20" s="25">
        <f t="shared" si="0"/>
        <v>7411.7640000000001</v>
      </c>
      <c r="H20" s="30">
        <v>25430.46</v>
      </c>
      <c r="I20" s="30"/>
      <c r="J20" s="53">
        <f>32/151</f>
        <v>0.2119205298013245</v>
      </c>
      <c r="K20" s="25">
        <f t="shared" si="1"/>
        <v>7629.137999999999</v>
      </c>
      <c r="L20" s="30">
        <v>24150.94</v>
      </c>
      <c r="M20" s="30"/>
      <c r="N20" s="53">
        <f>32/159</f>
        <v>0.20125786163522014</v>
      </c>
      <c r="O20" s="25">
        <f t="shared" si="2"/>
        <v>7245.2819999999992</v>
      </c>
      <c r="P20" s="30">
        <f>120000*R20</f>
        <v>22994.011976047907</v>
      </c>
      <c r="Q20" s="30"/>
      <c r="R20" s="53">
        <f>32/167</f>
        <v>0.19161676646706588</v>
      </c>
      <c r="S20" s="25">
        <f t="shared" si="3"/>
        <v>6898.2035928143714</v>
      </c>
      <c r="T20" s="30">
        <f>120000*V20</f>
        <v>27169.811320754718</v>
      </c>
      <c r="U20" s="30"/>
      <c r="V20" s="53">
        <f>36/159</f>
        <v>0.22641509433962265</v>
      </c>
      <c r="W20" s="25">
        <f t="shared" si="4"/>
        <v>8150.9433962264147</v>
      </c>
      <c r="X20" s="30">
        <f>120000*Z20</f>
        <v>21132.07547169811</v>
      </c>
      <c r="Y20" s="30"/>
      <c r="Z20" s="53">
        <f>28/159</f>
        <v>0.1761006289308176</v>
      </c>
      <c r="AA20" s="25">
        <f t="shared" si="5"/>
        <v>6339.6226415094325</v>
      </c>
      <c r="AB20" s="30">
        <f>120000*AD20</f>
        <v>24545.454545454548</v>
      </c>
      <c r="AC20" s="30"/>
      <c r="AD20" s="53">
        <f>36/176</f>
        <v>0.20454545454545456</v>
      </c>
      <c r="AE20" s="25">
        <f t="shared" si="6"/>
        <v>7363.636363636364</v>
      </c>
      <c r="AF20" s="30">
        <f>120000*AH20</f>
        <v>23478.26086956522</v>
      </c>
      <c r="AG20" s="30"/>
      <c r="AH20" s="53">
        <f>36/184</f>
        <v>0.19565217391304349</v>
      </c>
      <c r="AI20" s="25">
        <f t="shared" si="7"/>
        <v>7043.4782608695659</v>
      </c>
      <c r="AJ20" s="30"/>
      <c r="AK20" s="30"/>
      <c r="AL20" s="32"/>
      <c r="AM20" s="30"/>
      <c r="AN20" s="30"/>
      <c r="AO20" s="30"/>
      <c r="AP20" s="31"/>
      <c r="AQ20" s="30"/>
      <c r="AR20" s="30"/>
      <c r="AS20" s="30"/>
      <c r="AT20" s="31"/>
      <c r="AU20" s="30"/>
      <c r="AV20" s="30"/>
      <c r="AW20" s="30"/>
      <c r="AX20" s="32"/>
      <c r="AY20" s="30"/>
      <c r="AZ20" s="54"/>
      <c r="BA20" s="54"/>
      <c r="BB20" s="54"/>
      <c r="BC20" s="54"/>
      <c r="BD20" s="54">
        <f t="shared" si="10"/>
        <v>193606.89418352052</v>
      </c>
      <c r="BE20" s="119">
        <f t="shared" si="8"/>
        <v>827393.10581647954</v>
      </c>
      <c r="BF20" s="119">
        <f t="shared" si="9"/>
        <v>621393.10581647954</v>
      </c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</row>
    <row r="21" spans="1:198" s="34" customFormat="1">
      <c r="A21" s="19">
        <v>17</v>
      </c>
      <c r="B21" s="24">
        <v>234</v>
      </c>
      <c r="C21" s="120" t="s">
        <v>25</v>
      </c>
      <c r="D21" s="25">
        <v>38235.29</v>
      </c>
      <c r="E21" s="25"/>
      <c r="F21" s="166">
        <f>104/136</f>
        <v>0.76470588235294112</v>
      </c>
      <c r="G21" s="25">
        <f t="shared" si="0"/>
        <v>11470.587</v>
      </c>
      <c r="H21" s="25">
        <v>25165.56</v>
      </c>
      <c r="I21" s="25"/>
      <c r="J21" s="166">
        <f>76/151</f>
        <v>0.50331125827814571</v>
      </c>
      <c r="K21" s="25">
        <f t="shared" si="1"/>
        <v>7549.6679999999997</v>
      </c>
      <c r="L21" s="25">
        <v>25157.23</v>
      </c>
      <c r="M21" s="25"/>
      <c r="N21" s="166">
        <f>80/159</f>
        <v>0.50314465408805031</v>
      </c>
      <c r="O21" s="25">
        <f t="shared" si="2"/>
        <v>7547.1689999999999</v>
      </c>
      <c r="P21" s="25">
        <f>50000*R21</f>
        <v>25149.700598802392</v>
      </c>
      <c r="Q21" s="25"/>
      <c r="R21" s="166">
        <f>84/167</f>
        <v>0.50299401197604787</v>
      </c>
      <c r="S21" s="25">
        <f t="shared" si="3"/>
        <v>7544.9101796407176</v>
      </c>
      <c r="T21" s="25">
        <f>50000*V21</f>
        <v>25157.232704402515</v>
      </c>
      <c r="U21" s="25"/>
      <c r="V21" s="166">
        <f>80/159</f>
        <v>0.50314465408805031</v>
      </c>
      <c r="W21" s="25">
        <f t="shared" si="4"/>
        <v>7547.169811320754</v>
      </c>
      <c r="X21" s="25">
        <f>50000*Z21</f>
        <v>25157.232704402515</v>
      </c>
      <c r="Y21" s="25"/>
      <c r="Z21" s="166">
        <f>80/159</f>
        <v>0.50314465408805031</v>
      </c>
      <c r="AA21" s="25">
        <f t="shared" si="5"/>
        <v>7547.169811320754</v>
      </c>
      <c r="AB21" s="25">
        <f>50000*AD21</f>
        <v>25000</v>
      </c>
      <c r="AC21" s="25"/>
      <c r="AD21" s="166">
        <f>88/176</f>
        <v>0.5</v>
      </c>
      <c r="AE21" s="25">
        <f t="shared" si="6"/>
        <v>7500</v>
      </c>
      <c r="AF21" s="25">
        <f>50000*AH21</f>
        <v>25000</v>
      </c>
      <c r="AG21" s="25"/>
      <c r="AH21" s="166">
        <f>92/184</f>
        <v>0.5</v>
      </c>
      <c r="AI21" s="25">
        <f t="shared" si="7"/>
        <v>7500</v>
      </c>
      <c r="AJ21" s="25"/>
      <c r="AK21" s="25"/>
      <c r="AL21" s="26"/>
      <c r="AM21" s="25"/>
      <c r="AN21" s="25"/>
      <c r="AO21" s="25"/>
      <c r="AP21" s="26"/>
      <c r="AQ21" s="25"/>
      <c r="AR21" s="25"/>
      <c r="AS21" s="25"/>
      <c r="AT21" s="26"/>
      <c r="AU21" s="25"/>
      <c r="AV21" s="25"/>
      <c r="AW21" s="25"/>
      <c r="AX21" s="26"/>
      <c r="AY21" s="25"/>
      <c r="AZ21" s="21"/>
      <c r="BA21" s="21"/>
      <c r="BB21" s="21"/>
      <c r="BC21" s="21"/>
      <c r="BD21" s="21">
        <f t="shared" si="10"/>
        <v>214022.24600760743</v>
      </c>
      <c r="BE21" s="22">
        <f t="shared" si="8"/>
        <v>806977.75399239257</v>
      </c>
      <c r="BF21" s="22">
        <f t="shared" si="9"/>
        <v>600977.75399239257</v>
      </c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</row>
    <row r="22" spans="1:198" s="34" customFormat="1">
      <c r="A22" s="19">
        <v>18</v>
      </c>
      <c r="B22" s="24">
        <v>181</v>
      </c>
      <c r="C22" s="109" t="s">
        <v>26</v>
      </c>
      <c r="D22" s="25"/>
      <c r="E22" s="25"/>
      <c r="F22" s="166"/>
      <c r="G22" s="25">
        <f t="shared" si="0"/>
        <v>0</v>
      </c>
      <c r="H22" s="25"/>
      <c r="I22" s="25"/>
      <c r="J22" s="166"/>
      <c r="K22" s="25">
        <f t="shared" si="1"/>
        <v>0</v>
      </c>
      <c r="L22" s="25"/>
      <c r="M22" s="25"/>
      <c r="N22" s="166"/>
      <c r="O22" s="25">
        <f t="shared" si="2"/>
        <v>0</v>
      </c>
      <c r="P22" s="25"/>
      <c r="Q22" s="25"/>
      <c r="R22" s="25"/>
      <c r="S22" s="25">
        <f t="shared" si="3"/>
        <v>0</v>
      </c>
      <c r="T22" s="25"/>
      <c r="U22" s="25"/>
      <c r="V22" s="166"/>
      <c r="W22" s="25">
        <f t="shared" si="4"/>
        <v>0</v>
      </c>
      <c r="X22" s="25"/>
      <c r="Y22" s="25"/>
      <c r="Z22" s="166"/>
      <c r="AA22" s="25">
        <f t="shared" si="5"/>
        <v>0</v>
      </c>
      <c r="AB22" s="25"/>
      <c r="AC22" s="25"/>
      <c r="AD22" s="166"/>
      <c r="AE22" s="25">
        <f t="shared" si="6"/>
        <v>0</v>
      </c>
      <c r="AF22" s="25"/>
      <c r="AG22" s="25"/>
      <c r="AH22" s="166"/>
      <c r="AI22" s="25">
        <f t="shared" si="7"/>
        <v>0</v>
      </c>
      <c r="AJ22" s="25"/>
      <c r="AK22" s="25"/>
      <c r="AL22" s="33"/>
      <c r="AM22" s="25"/>
      <c r="AN22" s="25"/>
      <c r="AO22" s="25"/>
      <c r="AP22" s="26"/>
      <c r="AQ22" s="25"/>
      <c r="AR22" s="25"/>
      <c r="AS22" s="25"/>
      <c r="AT22" s="26"/>
      <c r="AU22" s="25"/>
      <c r="AV22" s="25"/>
      <c r="AW22" s="25"/>
      <c r="AX22" s="33"/>
      <c r="AY22" s="25"/>
      <c r="AZ22" s="28"/>
      <c r="BA22" s="28"/>
      <c r="BB22" s="28"/>
      <c r="BC22" s="28"/>
      <c r="BD22" s="21">
        <f t="shared" si="10"/>
        <v>0</v>
      </c>
      <c r="BE22" s="22">
        <f t="shared" si="8"/>
        <v>1021000</v>
      </c>
      <c r="BF22" s="22">
        <f t="shared" si="9"/>
        <v>815000</v>
      </c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</row>
    <row r="23" spans="1:198" s="34" customFormat="1">
      <c r="A23" s="19">
        <v>19</v>
      </c>
      <c r="B23" s="24">
        <v>200</v>
      </c>
      <c r="C23" s="109" t="s">
        <v>27</v>
      </c>
      <c r="D23" s="25"/>
      <c r="E23" s="25"/>
      <c r="F23" s="166"/>
      <c r="G23" s="25">
        <f t="shared" si="0"/>
        <v>0</v>
      </c>
      <c r="H23" s="25"/>
      <c r="I23" s="25"/>
      <c r="J23" s="166"/>
      <c r="K23" s="25">
        <f t="shared" si="1"/>
        <v>0</v>
      </c>
      <c r="L23" s="25"/>
      <c r="M23" s="25"/>
      <c r="N23" s="166"/>
      <c r="O23" s="25">
        <f t="shared" si="2"/>
        <v>0</v>
      </c>
      <c r="P23" s="25"/>
      <c r="Q23" s="25"/>
      <c r="R23" s="25"/>
      <c r="S23" s="25">
        <f t="shared" si="3"/>
        <v>0</v>
      </c>
      <c r="T23" s="25"/>
      <c r="U23" s="25"/>
      <c r="V23" s="166"/>
      <c r="W23" s="25">
        <f t="shared" si="4"/>
        <v>0</v>
      </c>
      <c r="X23" s="25"/>
      <c r="Y23" s="25"/>
      <c r="Z23" s="166"/>
      <c r="AA23" s="25">
        <f t="shared" si="5"/>
        <v>0</v>
      </c>
      <c r="AB23" s="25"/>
      <c r="AC23" s="25"/>
      <c r="AD23" s="166"/>
      <c r="AE23" s="25">
        <f t="shared" si="6"/>
        <v>0</v>
      </c>
      <c r="AF23" s="25"/>
      <c r="AG23" s="25"/>
      <c r="AH23" s="166"/>
      <c r="AI23" s="25">
        <f t="shared" si="7"/>
        <v>0</v>
      </c>
      <c r="AJ23" s="25"/>
      <c r="AK23" s="25"/>
      <c r="AL23" s="33"/>
      <c r="AM23" s="25"/>
      <c r="AN23" s="25"/>
      <c r="AO23" s="25"/>
      <c r="AP23" s="26"/>
      <c r="AQ23" s="25"/>
      <c r="AR23" s="25"/>
      <c r="AS23" s="25"/>
      <c r="AT23" s="26"/>
      <c r="AU23" s="25"/>
      <c r="AV23" s="25"/>
      <c r="AW23" s="25"/>
      <c r="AX23" s="33"/>
      <c r="AY23" s="25"/>
      <c r="AZ23" s="28"/>
      <c r="BA23" s="28"/>
      <c r="BB23" s="28"/>
      <c r="BC23" s="28"/>
      <c r="BD23" s="21">
        <f t="shared" si="10"/>
        <v>0</v>
      </c>
      <c r="BE23" s="22">
        <f t="shared" si="8"/>
        <v>1021000</v>
      </c>
      <c r="BF23" s="22">
        <f t="shared" si="9"/>
        <v>815000</v>
      </c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</row>
    <row r="24" spans="1:198" s="34" customFormat="1">
      <c r="A24" s="19">
        <v>20</v>
      </c>
      <c r="B24" s="24">
        <v>199</v>
      </c>
      <c r="C24" s="109" t="s">
        <v>28</v>
      </c>
      <c r="D24" s="25"/>
      <c r="E24" s="25"/>
      <c r="F24" s="166"/>
      <c r="G24" s="25">
        <f t="shared" si="0"/>
        <v>0</v>
      </c>
      <c r="H24" s="25"/>
      <c r="I24" s="25"/>
      <c r="J24" s="166"/>
      <c r="K24" s="25">
        <f t="shared" si="1"/>
        <v>0</v>
      </c>
      <c r="L24" s="25"/>
      <c r="M24" s="25"/>
      <c r="N24" s="166"/>
      <c r="O24" s="25">
        <f t="shared" si="2"/>
        <v>0</v>
      </c>
      <c r="P24" s="25"/>
      <c r="Q24" s="25"/>
      <c r="R24" s="25"/>
      <c r="S24" s="25">
        <f t="shared" si="3"/>
        <v>0</v>
      </c>
      <c r="T24" s="25"/>
      <c r="U24" s="25"/>
      <c r="V24" s="166"/>
      <c r="W24" s="25">
        <f t="shared" si="4"/>
        <v>0</v>
      </c>
      <c r="X24" s="25"/>
      <c r="Y24" s="25"/>
      <c r="Z24" s="166"/>
      <c r="AA24" s="25">
        <f t="shared" si="5"/>
        <v>0</v>
      </c>
      <c r="AB24" s="25"/>
      <c r="AC24" s="25"/>
      <c r="AD24" s="166"/>
      <c r="AE24" s="25">
        <f t="shared" si="6"/>
        <v>0</v>
      </c>
      <c r="AF24" s="25"/>
      <c r="AG24" s="25"/>
      <c r="AH24" s="166"/>
      <c r="AI24" s="25">
        <f t="shared" si="7"/>
        <v>0</v>
      </c>
      <c r="AJ24" s="25"/>
      <c r="AK24" s="25"/>
      <c r="AL24" s="33"/>
      <c r="AM24" s="25"/>
      <c r="AN24" s="25"/>
      <c r="AO24" s="25"/>
      <c r="AP24" s="26"/>
      <c r="AQ24" s="25"/>
      <c r="AR24" s="25"/>
      <c r="AS24" s="25"/>
      <c r="AT24" s="26"/>
      <c r="AU24" s="25"/>
      <c r="AV24" s="25"/>
      <c r="AW24" s="25"/>
      <c r="AX24" s="33"/>
      <c r="AY24" s="25"/>
      <c r="AZ24" s="28"/>
      <c r="BA24" s="28"/>
      <c r="BB24" s="28"/>
      <c r="BC24" s="28"/>
      <c r="BD24" s="21">
        <f t="shared" si="10"/>
        <v>0</v>
      </c>
      <c r="BE24" s="22">
        <f t="shared" si="8"/>
        <v>1021000</v>
      </c>
      <c r="BF24" s="22">
        <f t="shared" si="9"/>
        <v>815000</v>
      </c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</row>
    <row r="25" spans="1:198" s="34" customFormat="1">
      <c r="A25" s="19">
        <v>21</v>
      </c>
      <c r="B25" s="24">
        <v>210</v>
      </c>
      <c r="C25" s="120" t="s">
        <v>29</v>
      </c>
      <c r="D25" s="25">
        <v>7205.88</v>
      </c>
      <c r="E25" s="25"/>
      <c r="F25" s="166">
        <f>28/136</f>
        <v>0.20588235294117646</v>
      </c>
      <c r="G25" s="25">
        <f t="shared" si="0"/>
        <v>2161.7640000000001</v>
      </c>
      <c r="H25" s="25">
        <v>7417.22</v>
      </c>
      <c r="I25" s="25"/>
      <c r="J25" s="166">
        <f>32/151</f>
        <v>0.2119205298013245</v>
      </c>
      <c r="K25" s="25">
        <f t="shared" si="1"/>
        <v>2225.1660000000002</v>
      </c>
      <c r="L25" s="25">
        <v>7044.03</v>
      </c>
      <c r="M25" s="25"/>
      <c r="N25" s="166">
        <f>32/159</f>
        <v>0.20125786163522014</v>
      </c>
      <c r="O25" s="25">
        <f t="shared" si="2"/>
        <v>2113.2089999999998</v>
      </c>
      <c r="P25" s="25">
        <f>35000*R25</f>
        <v>6706.5868263473058</v>
      </c>
      <c r="Q25" s="25"/>
      <c r="R25" s="166">
        <f>32/167</f>
        <v>0.19161676646706588</v>
      </c>
      <c r="S25" s="25">
        <f t="shared" si="3"/>
        <v>2011.9760479041915</v>
      </c>
      <c r="T25" s="25">
        <f>35000*V25</f>
        <v>7924.5283018867931</v>
      </c>
      <c r="U25" s="25"/>
      <c r="V25" s="166">
        <f>36/159</f>
        <v>0.22641509433962265</v>
      </c>
      <c r="W25" s="25">
        <f t="shared" si="4"/>
        <v>2377.3584905660377</v>
      </c>
      <c r="X25" s="25">
        <f>35000*Z25</f>
        <v>6163.5220125786163</v>
      </c>
      <c r="Y25" s="25"/>
      <c r="Z25" s="166">
        <f>28/159</f>
        <v>0.1761006289308176</v>
      </c>
      <c r="AA25" s="25">
        <f t="shared" si="5"/>
        <v>1849.0566037735848</v>
      </c>
      <c r="AB25" s="25">
        <f>35000*AD25</f>
        <v>7159.0909090909099</v>
      </c>
      <c r="AC25" s="25"/>
      <c r="AD25" s="166">
        <f>36/176</f>
        <v>0.20454545454545456</v>
      </c>
      <c r="AE25" s="25">
        <f t="shared" si="6"/>
        <v>2147.727272727273</v>
      </c>
      <c r="AF25" s="25">
        <f>35000*AH25</f>
        <v>6847.826086956522</v>
      </c>
      <c r="AG25" s="25"/>
      <c r="AH25" s="166">
        <f>36/184</f>
        <v>0.19565217391304349</v>
      </c>
      <c r="AI25" s="25">
        <f t="shared" si="7"/>
        <v>2054.3478260869565</v>
      </c>
      <c r="AJ25" s="25"/>
      <c r="AK25" s="25"/>
      <c r="AL25" s="33"/>
      <c r="AM25" s="25"/>
      <c r="AN25" s="25"/>
      <c r="AO25" s="25"/>
      <c r="AP25" s="26"/>
      <c r="AQ25" s="25"/>
      <c r="AR25" s="25"/>
      <c r="AS25" s="25"/>
      <c r="AT25" s="26"/>
      <c r="AU25" s="25"/>
      <c r="AV25" s="25"/>
      <c r="AW25" s="25"/>
      <c r="AX25" s="33"/>
      <c r="AY25" s="25"/>
      <c r="AZ25" s="21"/>
      <c r="BA25" s="21"/>
      <c r="BB25" s="21"/>
      <c r="BC25" s="21"/>
      <c r="BD25" s="21">
        <f t="shared" si="10"/>
        <v>56468.684136860145</v>
      </c>
      <c r="BE25" s="22">
        <f t="shared" si="8"/>
        <v>964531.31586313981</v>
      </c>
      <c r="BF25" s="22">
        <f t="shared" si="9"/>
        <v>758531.31586313981</v>
      </c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</row>
    <row r="26" spans="1:198" s="34" customFormat="1">
      <c r="A26" s="19">
        <v>22</v>
      </c>
      <c r="B26" s="24">
        <v>205</v>
      </c>
      <c r="C26" s="109" t="s">
        <v>30</v>
      </c>
      <c r="D26" s="25"/>
      <c r="E26" s="25"/>
      <c r="F26" s="166"/>
      <c r="G26" s="25">
        <f t="shared" si="0"/>
        <v>0</v>
      </c>
      <c r="H26" s="25"/>
      <c r="I26" s="25"/>
      <c r="J26" s="166"/>
      <c r="K26" s="25">
        <f t="shared" si="1"/>
        <v>0</v>
      </c>
      <c r="L26" s="25"/>
      <c r="M26" s="25"/>
      <c r="N26" s="166"/>
      <c r="O26" s="25">
        <f t="shared" si="2"/>
        <v>0</v>
      </c>
      <c r="P26" s="25"/>
      <c r="Q26" s="25"/>
      <c r="R26" s="25"/>
      <c r="S26" s="25">
        <f t="shared" si="3"/>
        <v>0</v>
      </c>
      <c r="T26" s="25"/>
      <c r="U26" s="25"/>
      <c r="V26" s="166"/>
      <c r="W26" s="25">
        <f t="shared" si="4"/>
        <v>0</v>
      </c>
      <c r="X26" s="25"/>
      <c r="Y26" s="25"/>
      <c r="Z26" s="166"/>
      <c r="AA26" s="25">
        <f t="shared" si="5"/>
        <v>0</v>
      </c>
      <c r="AB26" s="25"/>
      <c r="AC26" s="25"/>
      <c r="AD26" s="166"/>
      <c r="AE26" s="25">
        <f t="shared" si="6"/>
        <v>0</v>
      </c>
      <c r="AF26" s="25"/>
      <c r="AG26" s="25"/>
      <c r="AH26" s="166"/>
      <c r="AI26" s="25">
        <f t="shared" si="7"/>
        <v>0</v>
      </c>
      <c r="AJ26" s="25"/>
      <c r="AK26" s="25"/>
      <c r="AL26" s="33"/>
      <c r="AM26" s="25"/>
      <c r="AN26" s="25"/>
      <c r="AO26" s="25"/>
      <c r="AP26" s="26"/>
      <c r="AQ26" s="25"/>
      <c r="AR26" s="25"/>
      <c r="AS26" s="25"/>
      <c r="AT26" s="26"/>
      <c r="AU26" s="25"/>
      <c r="AV26" s="25"/>
      <c r="AW26" s="25"/>
      <c r="AX26" s="33"/>
      <c r="AY26" s="25"/>
      <c r="AZ26" s="28"/>
      <c r="BA26" s="28"/>
      <c r="BB26" s="28"/>
      <c r="BC26" s="28"/>
      <c r="BD26" s="21">
        <f t="shared" si="10"/>
        <v>0</v>
      </c>
      <c r="BE26" s="22">
        <f t="shared" si="8"/>
        <v>1021000</v>
      </c>
      <c r="BF26" s="22">
        <f t="shared" si="9"/>
        <v>815000</v>
      </c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</row>
    <row r="27" spans="1:198" s="117" customFormat="1">
      <c r="A27" s="19">
        <v>23</v>
      </c>
      <c r="B27" s="110">
        <v>176</v>
      </c>
      <c r="C27" s="111" t="s">
        <v>31</v>
      </c>
      <c r="D27" s="112"/>
      <c r="E27" s="112"/>
      <c r="F27" s="168"/>
      <c r="G27" s="25">
        <f t="shared" si="0"/>
        <v>0</v>
      </c>
      <c r="H27" s="112"/>
      <c r="I27" s="112"/>
      <c r="J27" s="168"/>
      <c r="K27" s="25">
        <f t="shared" si="1"/>
        <v>0</v>
      </c>
      <c r="L27" s="112"/>
      <c r="M27" s="112"/>
      <c r="N27" s="168"/>
      <c r="O27" s="25">
        <f t="shared" si="2"/>
        <v>0</v>
      </c>
      <c r="P27" s="112"/>
      <c r="Q27" s="112"/>
      <c r="R27" s="112"/>
      <c r="S27" s="25">
        <f t="shared" si="3"/>
        <v>0</v>
      </c>
      <c r="T27" s="112"/>
      <c r="U27" s="112"/>
      <c r="V27" s="168"/>
      <c r="W27" s="25">
        <f t="shared" si="4"/>
        <v>0</v>
      </c>
      <c r="X27" s="112"/>
      <c r="Y27" s="112"/>
      <c r="Z27" s="168"/>
      <c r="AA27" s="25">
        <f t="shared" si="5"/>
        <v>0</v>
      </c>
      <c r="AB27" s="112"/>
      <c r="AC27" s="112"/>
      <c r="AD27" s="168"/>
      <c r="AE27" s="25">
        <f t="shared" si="6"/>
        <v>0</v>
      </c>
      <c r="AF27" s="112"/>
      <c r="AG27" s="112"/>
      <c r="AH27" s="168"/>
      <c r="AI27" s="25">
        <f t="shared" si="7"/>
        <v>0</v>
      </c>
      <c r="AJ27" s="112"/>
      <c r="AK27" s="112"/>
      <c r="AL27" s="27"/>
      <c r="AM27" s="112"/>
      <c r="AN27" s="112"/>
      <c r="AO27" s="112"/>
      <c r="AP27" s="113"/>
      <c r="AQ27" s="112"/>
      <c r="AR27" s="112"/>
      <c r="AS27" s="112"/>
      <c r="AT27" s="113"/>
      <c r="AU27" s="112"/>
      <c r="AV27" s="112"/>
      <c r="AW27" s="112"/>
      <c r="AX27" s="27"/>
      <c r="AY27" s="112"/>
      <c r="AZ27" s="114"/>
      <c r="BA27" s="114"/>
      <c r="BB27" s="114"/>
      <c r="BC27" s="114"/>
      <c r="BD27" s="114">
        <f t="shared" si="10"/>
        <v>0</v>
      </c>
      <c r="BE27" s="115">
        <f t="shared" si="8"/>
        <v>1021000</v>
      </c>
      <c r="BF27" s="115">
        <f t="shared" si="9"/>
        <v>815000</v>
      </c>
      <c r="BG27" s="116"/>
      <c r="BH27" s="116"/>
      <c r="BI27" s="116"/>
      <c r="BJ27" s="116"/>
      <c r="BK27" s="116"/>
      <c r="BL27" s="116"/>
      <c r="BM27" s="116"/>
      <c r="BN27" s="116"/>
      <c r="BO27" s="116"/>
      <c r="BP27" s="116"/>
      <c r="BQ27" s="116"/>
      <c r="BR27" s="116"/>
      <c r="BS27" s="116"/>
      <c r="BT27" s="116"/>
      <c r="BU27" s="116"/>
      <c r="BV27" s="116"/>
      <c r="BW27" s="116"/>
      <c r="BX27" s="116"/>
      <c r="BY27" s="116"/>
      <c r="BZ27" s="116"/>
      <c r="CA27" s="116"/>
      <c r="CB27" s="116"/>
      <c r="CC27" s="116"/>
      <c r="CD27" s="116"/>
      <c r="CE27" s="116"/>
      <c r="CF27" s="116"/>
      <c r="CG27" s="116"/>
      <c r="CH27" s="116"/>
      <c r="CI27" s="116"/>
      <c r="CJ27" s="116"/>
      <c r="CK27" s="116"/>
      <c r="CL27" s="116"/>
      <c r="CM27" s="116"/>
      <c r="CN27" s="116"/>
      <c r="CO27" s="116"/>
      <c r="CP27" s="116"/>
      <c r="CQ27" s="116"/>
      <c r="CR27" s="116"/>
      <c r="CS27" s="116"/>
      <c r="CT27" s="116"/>
      <c r="CU27" s="116"/>
      <c r="CV27" s="116"/>
      <c r="CW27" s="116"/>
      <c r="CX27" s="116"/>
      <c r="CY27" s="116"/>
      <c r="CZ27" s="116"/>
      <c r="DA27" s="116"/>
      <c r="DB27" s="116"/>
      <c r="DC27" s="116"/>
      <c r="DD27" s="116"/>
      <c r="DE27" s="116"/>
      <c r="DF27" s="116"/>
      <c r="DG27" s="116"/>
      <c r="DH27" s="116"/>
      <c r="DI27" s="116"/>
      <c r="DJ27" s="116"/>
      <c r="DK27" s="116"/>
      <c r="DL27" s="116"/>
      <c r="DM27" s="116"/>
      <c r="DN27" s="116"/>
      <c r="DO27" s="116"/>
      <c r="DP27" s="116"/>
      <c r="DQ27" s="116"/>
      <c r="DR27" s="116"/>
      <c r="DS27" s="116"/>
      <c r="DT27" s="116"/>
      <c r="DU27" s="116"/>
      <c r="DV27" s="116"/>
      <c r="DW27" s="116"/>
      <c r="DX27" s="116"/>
      <c r="DY27" s="116"/>
      <c r="DZ27" s="116"/>
      <c r="EA27" s="116"/>
      <c r="EB27" s="116"/>
      <c r="EC27" s="116"/>
      <c r="ED27" s="116"/>
      <c r="EE27" s="116"/>
      <c r="EF27" s="116"/>
      <c r="EG27" s="116"/>
      <c r="EH27" s="116"/>
      <c r="EI27" s="116"/>
      <c r="EJ27" s="116"/>
      <c r="EK27" s="116"/>
      <c r="EL27" s="116"/>
      <c r="EM27" s="116"/>
      <c r="EN27" s="116"/>
      <c r="EO27" s="116"/>
      <c r="EP27" s="116"/>
      <c r="EQ27" s="116"/>
      <c r="ER27" s="116"/>
      <c r="ES27" s="116"/>
      <c r="ET27" s="116"/>
      <c r="EU27" s="116"/>
      <c r="EV27" s="116"/>
      <c r="EW27" s="116"/>
      <c r="EX27" s="116"/>
      <c r="EY27" s="116"/>
      <c r="EZ27" s="116"/>
      <c r="FA27" s="116"/>
      <c r="FB27" s="116"/>
      <c r="FC27" s="116"/>
      <c r="FD27" s="116"/>
      <c r="FE27" s="116"/>
      <c r="FF27" s="116"/>
      <c r="FG27" s="116"/>
      <c r="FH27" s="116"/>
      <c r="FI27" s="116"/>
      <c r="FJ27" s="116"/>
      <c r="FK27" s="116"/>
      <c r="FL27" s="116"/>
      <c r="FM27" s="116"/>
      <c r="FN27" s="116"/>
      <c r="FO27" s="116"/>
      <c r="FP27" s="116"/>
      <c r="FQ27" s="116"/>
      <c r="FR27" s="116"/>
      <c r="FS27" s="116"/>
      <c r="FT27" s="116"/>
      <c r="FU27" s="116"/>
      <c r="FV27" s="116"/>
      <c r="FW27" s="116"/>
      <c r="FX27" s="116"/>
      <c r="FY27" s="116"/>
      <c r="FZ27" s="116"/>
      <c r="GA27" s="116"/>
      <c r="GB27" s="116"/>
      <c r="GC27" s="116"/>
      <c r="GD27" s="116"/>
      <c r="GE27" s="116"/>
      <c r="GF27" s="116"/>
      <c r="GG27" s="116"/>
      <c r="GH27" s="116"/>
      <c r="GI27" s="116"/>
      <c r="GJ27" s="116"/>
      <c r="GK27" s="116"/>
      <c r="GL27" s="116"/>
      <c r="GM27" s="116"/>
      <c r="GN27" s="116"/>
      <c r="GO27" s="116"/>
      <c r="GP27" s="116"/>
    </row>
    <row r="28" spans="1:198" s="34" customFormat="1">
      <c r="A28" s="19">
        <v>24</v>
      </c>
      <c r="B28" s="24">
        <v>178</v>
      </c>
      <c r="C28" s="109" t="s">
        <v>32</v>
      </c>
      <c r="D28" s="25">
        <v>47500</v>
      </c>
      <c r="E28" s="25"/>
      <c r="F28" s="166">
        <f>68/136</f>
        <v>0.5</v>
      </c>
      <c r="G28" s="25">
        <f t="shared" si="0"/>
        <v>14250</v>
      </c>
      <c r="H28" s="25"/>
      <c r="I28" s="25">
        <v>33065.279999999999</v>
      </c>
      <c r="J28" s="166"/>
      <c r="K28" s="25">
        <f t="shared" si="1"/>
        <v>9919.5839999999989</v>
      </c>
      <c r="L28" s="25"/>
      <c r="M28" s="25"/>
      <c r="N28" s="166"/>
      <c r="O28" s="25">
        <f t="shared" si="2"/>
        <v>0</v>
      </c>
      <c r="P28" s="25"/>
      <c r="Q28" s="25"/>
      <c r="R28" s="25"/>
      <c r="S28" s="25">
        <f t="shared" si="3"/>
        <v>0</v>
      </c>
      <c r="T28" s="25"/>
      <c r="U28" s="25"/>
      <c r="V28" s="166"/>
      <c r="W28" s="25">
        <f t="shared" si="4"/>
        <v>0</v>
      </c>
      <c r="X28" s="25"/>
      <c r="Y28" s="25"/>
      <c r="Z28" s="166"/>
      <c r="AA28" s="25">
        <f t="shared" si="5"/>
        <v>0</v>
      </c>
      <c r="AB28" s="25"/>
      <c r="AC28" s="25"/>
      <c r="AD28" s="166"/>
      <c r="AE28" s="25">
        <f t="shared" si="6"/>
        <v>0</v>
      </c>
      <c r="AF28" s="25"/>
      <c r="AG28" s="25"/>
      <c r="AH28" s="166"/>
      <c r="AI28" s="25">
        <f t="shared" si="7"/>
        <v>0</v>
      </c>
      <c r="AJ28" s="25"/>
      <c r="AK28" s="25"/>
      <c r="AL28" s="33"/>
      <c r="AM28" s="25"/>
      <c r="AN28" s="25"/>
      <c r="AO28" s="25"/>
      <c r="AP28" s="26"/>
      <c r="AQ28" s="25"/>
      <c r="AR28" s="25"/>
      <c r="AS28" s="25"/>
      <c r="AT28" s="26"/>
      <c r="AU28" s="25"/>
      <c r="AV28" s="25"/>
      <c r="AW28" s="25"/>
      <c r="AX28" s="26"/>
      <c r="AY28" s="25"/>
      <c r="AZ28" s="21"/>
      <c r="BA28" s="21"/>
      <c r="BB28" s="21"/>
      <c r="BC28" s="21"/>
      <c r="BD28" s="21">
        <f t="shared" si="10"/>
        <v>80565.279999999999</v>
      </c>
      <c r="BE28" s="22">
        <f t="shared" si="8"/>
        <v>940434.72</v>
      </c>
      <c r="BF28" s="22">
        <f t="shared" si="9"/>
        <v>734434.72</v>
      </c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</row>
    <row r="29" spans="1:198" s="34" customFormat="1">
      <c r="A29" s="19">
        <v>25</v>
      </c>
      <c r="B29" s="24">
        <v>235</v>
      </c>
      <c r="C29" s="120" t="s">
        <v>33</v>
      </c>
      <c r="D29" s="25">
        <v>154000</v>
      </c>
      <c r="E29" s="25"/>
      <c r="F29" s="166">
        <v>1</v>
      </c>
      <c r="G29" s="25">
        <f t="shared" si="0"/>
        <v>46200</v>
      </c>
      <c r="H29" s="25">
        <f>29668.87+2966.89</f>
        <v>32635.759999999998</v>
      </c>
      <c r="I29" s="25"/>
      <c r="J29" s="166">
        <f>32/151</f>
        <v>0.2119205298013245</v>
      </c>
      <c r="K29" s="25">
        <f t="shared" si="1"/>
        <v>9790.7279999999992</v>
      </c>
      <c r="L29" s="25">
        <f>28176.1+2817.61</f>
        <v>30993.71</v>
      </c>
      <c r="M29" s="25"/>
      <c r="N29" s="166">
        <f>32/159</f>
        <v>0.20125786163522014</v>
      </c>
      <c r="O29" s="25">
        <f t="shared" si="2"/>
        <v>9298.1129999999994</v>
      </c>
      <c r="P29" s="25">
        <f>154000*R29</f>
        <v>29508.982035928144</v>
      </c>
      <c r="Q29" s="25"/>
      <c r="R29" s="166">
        <f>32/167</f>
        <v>0.19161676646706588</v>
      </c>
      <c r="S29" s="25">
        <f t="shared" si="3"/>
        <v>8852.6946107784424</v>
      </c>
      <c r="T29" s="25">
        <f>154000*V29</f>
        <v>34867.92452830189</v>
      </c>
      <c r="U29" s="25"/>
      <c r="V29" s="166">
        <f>36/159</f>
        <v>0.22641509433962265</v>
      </c>
      <c r="W29" s="25">
        <f t="shared" si="4"/>
        <v>10460.377358490567</v>
      </c>
      <c r="X29" s="25">
        <f>154000*Z29</f>
        <v>27119.496855345911</v>
      </c>
      <c r="Y29" s="25"/>
      <c r="Z29" s="166">
        <f>28/159</f>
        <v>0.1761006289308176</v>
      </c>
      <c r="AA29" s="25">
        <f t="shared" si="5"/>
        <v>8135.8490566037726</v>
      </c>
      <c r="AB29" s="25">
        <f>154000*AD29</f>
        <v>31500.000000000004</v>
      </c>
      <c r="AC29" s="25"/>
      <c r="AD29" s="166">
        <f>36/176</f>
        <v>0.20454545454545456</v>
      </c>
      <c r="AE29" s="25">
        <f t="shared" si="6"/>
        <v>9450</v>
      </c>
      <c r="AF29" s="25">
        <f>154000*AH29</f>
        <v>30130.434782608696</v>
      </c>
      <c r="AG29" s="25"/>
      <c r="AH29" s="166">
        <f>36/184</f>
        <v>0.19565217391304349</v>
      </c>
      <c r="AI29" s="25">
        <f t="shared" si="7"/>
        <v>9039.1304347826081</v>
      </c>
      <c r="AJ29" s="25"/>
      <c r="AK29" s="25"/>
      <c r="AL29" s="33"/>
      <c r="AM29" s="25"/>
      <c r="AN29" s="25"/>
      <c r="AO29" s="25"/>
      <c r="AP29" s="26"/>
      <c r="AQ29" s="25"/>
      <c r="AR29" s="25"/>
      <c r="AS29" s="25"/>
      <c r="AT29" s="26"/>
      <c r="AU29" s="25"/>
      <c r="AV29" s="25"/>
      <c r="AW29" s="25"/>
      <c r="AX29" s="26"/>
      <c r="AY29" s="25"/>
      <c r="AZ29" s="21"/>
      <c r="BA29" s="21"/>
      <c r="BB29" s="21"/>
      <c r="BC29" s="21"/>
      <c r="BD29" s="21">
        <f t="shared" si="10"/>
        <v>370756.30820218462</v>
      </c>
      <c r="BE29" s="22">
        <f t="shared" si="8"/>
        <v>650243.69179781538</v>
      </c>
      <c r="BF29" s="22">
        <f t="shared" si="9"/>
        <v>444243.69179781538</v>
      </c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</row>
    <row r="30" spans="1:198" s="129" customFormat="1">
      <c r="A30" s="19">
        <v>26</v>
      </c>
      <c r="B30" s="121">
        <v>222</v>
      </c>
      <c r="C30" s="122" t="s">
        <v>74</v>
      </c>
      <c r="D30" s="123">
        <f>3529.41+352.94</f>
        <v>3882.35</v>
      </c>
      <c r="E30" s="123"/>
      <c r="F30" s="143">
        <f>16/136</f>
        <v>0.11764705882352941</v>
      </c>
      <c r="G30" s="25">
        <f t="shared" si="0"/>
        <v>1164.7049999999999</v>
      </c>
      <c r="H30" s="123">
        <f>3178.81+317.88</f>
        <v>3496.69</v>
      </c>
      <c r="I30" s="123"/>
      <c r="J30" s="143">
        <f>16/151</f>
        <v>0.10596026490066225</v>
      </c>
      <c r="K30" s="25">
        <f t="shared" si="1"/>
        <v>1049.0070000000001</v>
      </c>
      <c r="L30" s="123">
        <f>3018.87+301.89</f>
        <v>3320.7599999999998</v>
      </c>
      <c r="M30" s="123"/>
      <c r="N30" s="143">
        <f>16/159</f>
        <v>0.10062893081761007</v>
      </c>
      <c r="O30" s="25">
        <f t="shared" si="2"/>
        <v>996.22799999999984</v>
      </c>
      <c r="P30" s="123">
        <f>33000*R30</f>
        <v>3161.6766467065872</v>
      </c>
      <c r="Q30" s="123"/>
      <c r="R30" s="143">
        <f>16/167</f>
        <v>9.580838323353294E-2</v>
      </c>
      <c r="S30" s="25">
        <f t="shared" si="3"/>
        <v>948.50299401197617</v>
      </c>
      <c r="T30" s="123">
        <f>33000*V30</f>
        <v>4150.9433962264147</v>
      </c>
      <c r="U30" s="123"/>
      <c r="V30" s="143">
        <f>20/159</f>
        <v>0.12578616352201258</v>
      </c>
      <c r="W30" s="25">
        <f t="shared" si="4"/>
        <v>1245.2830188679243</v>
      </c>
      <c r="X30" s="123">
        <f>33000*Z30</f>
        <v>3320.7547169811323</v>
      </c>
      <c r="Y30" s="123"/>
      <c r="Z30" s="143">
        <f>16/159</f>
        <v>0.10062893081761007</v>
      </c>
      <c r="AA30" s="25">
        <f t="shared" si="5"/>
        <v>996.2264150943397</v>
      </c>
      <c r="AB30" s="123">
        <f>33000*AD30</f>
        <v>3000</v>
      </c>
      <c r="AC30" s="123"/>
      <c r="AD30" s="143">
        <f>16/176</f>
        <v>9.0909090909090912E-2</v>
      </c>
      <c r="AE30" s="25">
        <f t="shared" si="6"/>
        <v>900</v>
      </c>
      <c r="AF30" s="123">
        <f>33000*AH30</f>
        <v>3586.9565217391305</v>
      </c>
      <c r="AG30" s="123"/>
      <c r="AH30" s="143">
        <f>20/184</f>
        <v>0.10869565217391304</v>
      </c>
      <c r="AI30" s="25">
        <f t="shared" si="7"/>
        <v>1076.086956521739</v>
      </c>
      <c r="AJ30" s="123"/>
      <c r="AK30" s="123"/>
      <c r="AL30" s="124"/>
      <c r="AM30" s="123"/>
      <c r="AN30" s="123"/>
      <c r="AO30" s="123"/>
      <c r="AP30" s="125"/>
      <c r="AQ30" s="123"/>
      <c r="AR30" s="123"/>
      <c r="AS30" s="123"/>
      <c r="AT30" s="125"/>
      <c r="AU30" s="123"/>
      <c r="AV30" s="123"/>
      <c r="AW30" s="123"/>
      <c r="AX30" s="125"/>
      <c r="AY30" s="123"/>
      <c r="AZ30" s="126"/>
      <c r="BA30" s="126"/>
      <c r="BB30" s="126"/>
      <c r="BC30" s="126"/>
      <c r="BD30" s="126">
        <f t="shared" si="10"/>
        <v>27920.131281653266</v>
      </c>
      <c r="BE30" s="127">
        <f t="shared" si="8"/>
        <v>993079.8687183467</v>
      </c>
      <c r="BF30" s="127">
        <f t="shared" si="9"/>
        <v>787079.8687183467</v>
      </c>
      <c r="BG30" s="128"/>
      <c r="BH30" s="128"/>
      <c r="BI30" s="128"/>
      <c r="BJ30" s="128"/>
      <c r="BK30" s="128"/>
      <c r="BL30" s="128"/>
      <c r="BM30" s="128"/>
      <c r="BN30" s="128"/>
      <c r="BO30" s="128"/>
      <c r="BP30" s="128"/>
      <c r="BQ30" s="128"/>
      <c r="BR30" s="128"/>
      <c r="BS30" s="128"/>
      <c r="BT30" s="128"/>
      <c r="BU30" s="128"/>
      <c r="BV30" s="128"/>
      <c r="BW30" s="128"/>
      <c r="BX30" s="128"/>
      <c r="BY30" s="128"/>
      <c r="BZ30" s="128"/>
      <c r="CA30" s="128"/>
      <c r="CB30" s="128"/>
      <c r="CC30" s="128"/>
      <c r="CD30" s="128"/>
      <c r="CE30" s="128"/>
      <c r="CF30" s="128"/>
      <c r="CG30" s="128"/>
      <c r="CH30" s="128"/>
      <c r="CI30" s="128"/>
      <c r="CJ30" s="128"/>
      <c r="CK30" s="128"/>
      <c r="CL30" s="128"/>
      <c r="CM30" s="128"/>
      <c r="CN30" s="128"/>
      <c r="CO30" s="128"/>
      <c r="CP30" s="128"/>
      <c r="CQ30" s="128"/>
      <c r="CR30" s="128"/>
      <c r="CS30" s="128"/>
      <c r="CT30" s="128"/>
      <c r="CU30" s="128"/>
      <c r="CV30" s="128"/>
      <c r="CW30" s="128"/>
      <c r="CX30" s="128"/>
      <c r="CY30" s="128"/>
      <c r="CZ30" s="128"/>
      <c r="DA30" s="128"/>
      <c r="DB30" s="128"/>
      <c r="DC30" s="128"/>
      <c r="DD30" s="128"/>
      <c r="DE30" s="128"/>
      <c r="DF30" s="128"/>
      <c r="DG30" s="128"/>
      <c r="DH30" s="128"/>
      <c r="DI30" s="128"/>
      <c r="DJ30" s="128"/>
      <c r="DK30" s="128"/>
      <c r="DL30" s="128"/>
      <c r="DM30" s="128"/>
      <c r="DN30" s="128"/>
      <c r="DO30" s="128"/>
      <c r="DP30" s="128"/>
      <c r="DQ30" s="128"/>
      <c r="DR30" s="128"/>
      <c r="DS30" s="128"/>
      <c r="DT30" s="128"/>
      <c r="DU30" s="128"/>
      <c r="DV30" s="128"/>
      <c r="DW30" s="128"/>
      <c r="DX30" s="128"/>
      <c r="DY30" s="128"/>
      <c r="DZ30" s="128"/>
      <c r="EA30" s="128"/>
      <c r="EB30" s="128"/>
      <c r="EC30" s="128"/>
      <c r="ED30" s="128"/>
      <c r="EE30" s="128"/>
      <c r="EF30" s="128"/>
      <c r="EG30" s="128"/>
      <c r="EH30" s="128"/>
      <c r="EI30" s="128"/>
      <c r="EJ30" s="128"/>
      <c r="EK30" s="128"/>
      <c r="EL30" s="128"/>
      <c r="EM30" s="128"/>
      <c r="EN30" s="128"/>
      <c r="EO30" s="128"/>
      <c r="EP30" s="128"/>
      <c r="EQ30" s="128"/>
      <c r="ER30" s="128"/>
      <c r="ES30" s="128"/>
      <c r="ET30" s="128"/>
      <c r="EU30" s="128"/>
      <c r="EV30" s="128"/>
      <c r="EW30" s="128"/>
      <c r="EX30" s="128"/>
      <c r="EY30" s="128"/>
      <c r="EZ30" s="128"/>
      <c r="FA30" s="128"/>
      <c r="FB30" s="128"/>
      <c r="FC30" s="128"/>
      <c r="FD30" s="128"/>
      <c r="FE30" s="128"/>
      <c r="FF30" s="128"/>
      <c r="FG30" s="128"/>
      <c r="FH30" s="128"/>
      <c r="FI30" s="128"/>
      <c r="FJ30" s="128"/>
      <c r="FK30" s="128"/>
      <c r="FL30" s="128"/>
      <c r="FM30" s="128"/>
      <c r="FN30" s="128"/>
      <c r="FO30" s="128"/>
      <c r="FP30" s="128"/>
      <c r="FQ30" s="128"/>
      <c r="FR30" s="128"/>
      <c r="FS30" s="128"/>
      <c r="FT30" s="128"/>
      <c r="FU30" s="128"/>
      <c r="FV30" s="128"/>
      <c r="FW30" s="128"/>
      <c r="FX30" s="128"/>
      <c r="FY30" s="128"/>
      <c r="FZ30" s="128"/>
      <c r="GA30" s="128"/>
      <c r="GB30" s="128"/>
      <c r="GC30" s="128"/>
      <c r="GD30" s="128"/>
      <c r="GE30" s="128"/>
      <c r="GF30" s="128"/>
      <c r="GG30" s="128"/>
      <c r="GH30" s="128"/>
      <c r="GI30" s="128"/>
      <c r="GJ30" s="128"/>
      <c r="GK30" s="128"/>
      <c r="GL30" s="128"/>
      <c r="GM30" s="128"/>
      <c r="GN30" s="128"/>
      <c r="GO30" s="128"/>
      <c r="GP30" s="128"/>
    </row>
    <row r="31" spans="1:198">
      <c r="A31" s="19">
        <v>27</v>
      </c>
      <c r="B31" s="24">
        <v>190</v>
      </c>
      <c r="C31" s="109" t="s">
        <v>34</v>
      </c>
      <c r="D31" s="25"/>
      <c r="E31" s="25"/>
      <c r="F31" s="166"/>
      <c r="G31" s="25">
        <f t="shared" si="0"/>
        <v>0</v>
      </c>
      <c r="H31" s="25"/>
      <c r="I31" s="25"/>
      <c r="J31" s="166"/>
      <c r="K31" s="25">
        <f t="shared" si="1"/>
        <v>0</v>
      </c>
      <c r="L31" s="25"/>
      <c r="M31" s="25"/>
      <c r="N31" s="166"/>
      <c r="O31" s="25">
        <f t="shared" si="2"/>
        <v>0</v>
      </c>
      <c r="P31" s="25"/>
      <c r="Q31" s="25"/>
      <c r="R31" s="25"/>
      <c r="S31" s="25">
        <f t="shared" si="3"/>
        <v>0</v>
      </c>
      <c r="T31" s="25"/>
      <c r="U31" s="25"/>
      <c r="V31" s="166"/>
      <c r="W31" s="25">
        <f t="shared" si="4"/>
        <v>0</v>
      </c>
      <c r="X31" s="25"/>
      <c r="Y31" s="25"/>
      <c r="Z31" s="166"/>
      <c r="AA31" s="25">
        <f t="shared" si="5"/>
        <v>0</v>
      </c>
      <c r="AB31" s="25"/>
      <c r="AC31" s="25"/>
      <c r="AD31" s="166"/>
      <c r="AE31" s="25">
        <f t="shared" si="6"/>
        <v>0</v>
      </c>
      <c r="AF31" s="25"/>
      <c r="AG31" s="25"/>
      <c r="AH31" s="166"/>
      <c r="AI31" s="25">
        <f t="shared" si="7"/>
        <v>0</v>
      </c>
      <c r="AJ31" s="25"/>
      <c r="AK31" s="25"/>
      <c r="AL31" s="33"/>
      <c r="AM31" s="25"/>
      <c r="AN31" s="25"/>
      <c r="AO31" s="25"/>
      <c r="AP31" s="26"/>
      <c r="AQ31" s="25"/>
      <c r="AR31" s="25"/>
      <c r="AS31" s="25"/>
      <c r="AT31" s="26"/>
      <c r="AU31" s="25"/>
      <c r="AV31" s="25"/>
      <c r="AW31" s="25"/>
      <c r="AX31" s="33"/>
      <c r="AY31" s="25"/>
      <c r="AZ31" s="28"/>
      <c r="BA31" s="28"/>
      <c r="BB31" s="28"/>
      <c r="BC31" s="28"/>
      <c r="BD31" s="21">
        <f t="shared" si="10"/>
        <v>0</v>
      </c>
      <c r="BE31" s="22">
        <f t="shared" si="8"/>
        <v>1021000</v>
      </c>
      <c r="BF31" s="22">
        <f t="shared" si="9"/>
        <v>815000</v>
      </c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</row>
    <row r="32" spans="1:198">
      <c r="A32" s="19">
        <v>28</v>
      </c>
      <c r="B32" s="24">
        <v>128</v>
      </c>
      <c r="C32" s="109" t="s">
        <v>35</v>
      </c>
      <c r="D32" s="25"/>
      <c r="E32" s="25"/>
      <c r="F32" s="166"/>
      <c r="G32" s="25">
        <f t="shared" si="0"/>
        <v>0</v>
      </c>
      <c r="H32" s="25"/>
      <c r="I32" s="25"/>
      <c r="J32" s="166"/>
      <c r="K32" s="25">
        <f t="shared" si="1"/>
        <v>0</v>
      </c>
      <c r="L32" s="25"/>
      <c r="M32" s="25"/>
      <c r="N32" s="166"/>
      <c r="O32" s="25">
        <f t="shared" si="2"/>
        <v>0</v>
      </c>
      <c r="P32" s="25"/>
      <c r="Q32" s="25"/>
      <c r="R32" s="25"/>
      <c r="S32" s="25">
        <f t="shared" si="3"/>
        <v>0</v>
      </c>
      <c r="T32" s="25"/>
      <c r="U32" s="25"/>
      <c r="V32" s="166"/>
      <c r="W32" s="25">
        <f t="shared" si="4"/>
        <v>0</v>
      </c>
      <c r="X32" s="25"/>
      <c r="Y32" s="25"/>
      <c r="Z32" s="166"/>
      <c r="AA32" s="25">
        <f t="shared" si="5"/>
        <v>0</v>
      </c>
      <c r="AB32" s="25"/>
      <c r="AC32" s="25"/>
      <c r="AD32" s="166"/>
      <c r="AE32" s="25">
        <f t="shared" si="6"/>
        <v>0</v>
      </c>
      <c r="AF32" s="25"/>
      <c r="AG32" s="25"/>
      <c r="AH32" s="166"/>
      <c r="AI32" s="25">
        <f t="shared" si="7"/>
        <v>0</v>
      </c>
      <c r="AJ32" s="25"/>
      <c r="AK32" s="25"/>
      <c r="AL32" s="33"/>
      <c r="AM32" s="25"/>
      <c r="AN32" s="25"/>
      <c r="AO32" s="25"/>
      <c r="AP32" s="26"/>
      <c r="AQ32" s="25"/>
      <c r="AR32" s="25"/>
      <c r="AS32" s="25"/>
      <c r="AT32" s="26"/>
      <c r="AU32" s="25"/>
      <c r="AV32" s="25"/>
      <c r="AW32" s="25"/>
      <c r="AX32" s="33"/>
      <c r="AY32" s="25"/>
      <c r="AZ32" s="28"/>
      <c r="BA32" s="28"/>
      <c r="BB32" s="28"/>
      <c r="BC32" s="28"/>
      <c r="BD32" s="21">
        <f t="shared" si="10"/>
        <v>0</v>
      </c>
      <c r="BE32" s="22">
        <f t="shared" si="8"/>
        <v>1021000</v>
      </c>
      <c r="BF32" s="22">
        <f t="shared" si="9"/>
        <v>815000</v>
      </c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  <c r="FY32" s="29"/>
      <c r="FZ32" s="29"/>
      <c r="GA32" s="29"/>
      <c r="GB32" s="29"/>
      <c r="GC32" s="29"/>
      <c r="GD32" s="29"/>
      <c r="GE32" s="29"/>
      <c r="GF32" s="29"/>
      <c r="GG32" s="29"/>
      <c r="GH32" s="29"/>
      <c r="GI32" s="29"/>
      <c r="GJ32" s="29"/>
      <c r="GK32" s="29"/>
      <c r="GL32" s="29"/>
      <c r="GM32" s="29"/>
      <c r="GN32" s="29"/>
      <c r="GO32" s="29"/>
      <c r="GP32" s="29"/>
    </row>
    <row r="33" spans="1:198" s="41" customFormat="1">
      <c r="A33" s="19">
        <v>29</v>
      </c>
      <c r="B33" s="39">
        <v>80</v>
      </c>
      <c r="C33" s="118" t="s">
        <v>36</v>
      </c>
      <c r="D33" s="30">
        <v>13382.35</v>
      </c>
      <c r="E33" s="30"/>
      <c r="F33" s="53">
        <f>28/136</f>
        <v>0.20588235294117646</v>
      </c>
      <c r="G33" s="25">
        <f t="shared" si="0"/>
        <v>4014.7049999999999</v>
      </c>
      <c r="H33" s="30">
        <v>13774.83</v>
      </c>
      <c r="I33" s="30"/>
      <c r="J33" s="53">
        <f>32/151</f>
        <v>0.2119205298013245</v>
      </c>
      <c r="K33" s="25">
        <f t="shared" si="1"/>
        <v>4132.4489999999996</v>
      </c>
      <c r="L33" s="30">
        <v>13081.76</v>
      </c>
      <c r="M33" s="30"/>
      <c r="N33" s="53">
        <f>32/159</f>
        <v>0.20125786163522014</v>
      </c>
      <c r="O33" s="25">
        <f t="shared" si="2"/>
        <v>3924.5279999999998</v>
      </c>
      <c r="P33" s="30">
        <f>65000*R33</f>
        <v>12455.089820359282</v>
      </c>
      <c r="Q33" s="30"/>
      <c r="R33" s="53">
        <f>32/167</f>
        <v>0.19161676646706588</v>
      </c>
      <c r="S33" s="25">
        <f t="shared" si="3"/>
        <v>3736.5269461077846</v>
      </c>
      <c r="T33" s="30">
        <f>65000*V33</f>
        <v>14716.981132075472</v>
      </c>
      <c r="U33" s="30"/>
      <c r="V33" s="53">
        <f>36/159</f>
        <v>0.22641509433962265</v>
      </c>
      <c r="W33" s="25">
        <f t="shared" si="4"/>
        <v>4415.0943396226412</v>
      </c>
      <c r="X33" s="30">
        <f>65000*Z33</f>
        <v>11446.540880503144</v>
      </c>
      <c r="Y33" s="30"/>
      <c r="Z33" s="53">
        <f>28/159</f>
        <v>0.1761006289308176</v>
      </c>
      <c r="AA33" s="25">
        <f t="shared" si="5"/>
        <v>3433.9622641509432</v>
      </c>
      <c r="AB33" s="30">
        <f>65000*AD33</f>
        <v>13295.454545454546</v>
      </c>
      <c r="AC33" s="30"/>
      <c r="AD33" s="53">
        <f>36/176</f>
        <v>0.20454545454545456</v>
      </c>
      <c r="AE33" s="25">
        <f t="shared" si="6"/>
        <v>3988.6363636363635</v>
      </c>
      <c r="AF33" s="30">
        <f>65000*AH33</f>
        <v>12717.391304347826</v>
      </c>
      <c r="AG33" s="30"/>
      <c r="AH33" s="53">
        <f>36/184</f>
        <v>0.19565217391304349</v>
      </c>
      <c r="AI33" s="25">
        <f t="shared" si="7"/>
        <v>3815.2173913043475</v>
      </c>
      <c r="AJ33" s="30"/>
      <c r="AK33" s="30"/>
      <c r="AL33" s="32"/>
      <c r="AM33" s="30"/>
      <c r="AN33" s="30"/>
      <c r="AO33" s="30"/>
      <c r="AP33" s="31"/>
      <c r="AQ33" s="30"/>
      <c r="AR33" s="30"/>
      <c r="AS33" s="30"/>
      <c r="AT33" s="31"/>
      <c r="AU33" s="30"/>
      <c r="AV33" s="30"/>
      <c r="AW33" s="30"/>
      <c r="AX33" s="32"/>
      <c r="AY33" s="30"/>
      <c r="AZ33" s="54"/>
      <c r="BA33" s="54"/>
      <c r="BB33" s="54"/>
      <c r="BC33" s="54"/>
      <c r="BD33" s="54">
        <f>D33+E33+H33+I33+L33+M33+P33+Q33+T33+U33+X33+Y33+AB33+AC33+AF33+AG33+AJ33+AK33+AN33+AO33+AR33+AS33+AV33+AW33</f>
        <v>104870.39768274027</v>
      </c>
      <c r="BE33" s="119">
        <f t="shared" si="8"/>
        <v>916129.60231725976</v>
      </c>
      <c r="BF33" s="119">
        <f t="shared" si="9"/>
        <v>710129.60231725976</v>
      </c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  <c r="EA33" s="40"/>
      <c r="EB33" s="40"/>
      <c r="EC33" s="40"/>
      <c r="ED33" s="40"/>
      <c r="EE33" s="40"/>
      <c r="EF33" s="40"/>
      <c r="EG33" s="40"/>
      <c r="EH33" s="40"/>
      <c r="EI33" s="40"/>
      <c r="EJ33" s="40"/>
      <c r="EK33" s="40"/>
      <c r="EL33" s="40"/>
      <c r="EM33" s="40"/>
      <c r="EN33" s="40"/>
      <c r="EO33" s="40"/>
      <c r="EP33" s="40"/>
      <c r="EQ33" s="40"/>
      <c r="ER33" s="40"/>
      <c r="ES33" s="40"/>
      <c r="ET33" s="40"/>
      <c r="EU33" s="40"/>
      <c r="EV33" s="40"/>
      <c r="EW33" s="40"/>
      <c r="EX33" s="40"/>
      <c r="EY33" s="40"/>
      <c r="EZ33" s="40"/>
      <c r="FA33" s="40"/>
      <c r="FB33" s="40"/>
      <c r="FC33" s="40"/>
      <c r="FD33" s="40"/>
      <c r="FE33" s="40"/>
      <c r="FF33" s="40"/>
      <c r="FG33" s="40"/>
      <c r="FH33" s="40"/>
      <c r="FI33" s="40"/>
      <c r="FJ33" s="40"/>
      <c r="FK33" s="40"/>
      <c r="FL33" s="40"/>
      <c r="FM33" s="40"/>
      <c r="FN33" s="40"/>
      <c r="FO33" s="40"/>
      <c r="FP33" s="40"/>
      <c r="FQ33" s="40"/>
      <c r="FR33" s="40"/>
      <c r="FS33" s="40"/>
      <c r="FT33" s="40"/>
      <c r="FU33" s="40"/>
      <c r="FV33" s="40"/>
      <c r="FW33" s="40"/>
      <c r="FX33" s="40"/>
      <c r="FY33" s="40"/>
      <c r="FZ33" s="40"/>
      <c r="GA33" s="40"/>
      <c r="GB33" s="40"/>
      <c r="GC33" s="40"/>
      <c r="GD33" s="40"/>
      <c r="GE33" s="40"/>
      <c r="GF33" s="40"/>
      <c r="GG33" s="40"/>
      <c r="GH33" s="40"/>
      <c r="GI33" s="40"/>
      <c r="GJ33" s="40"/>
      <c r="GK33" s="40"/>
      <c r="GL33" s="40"/>
      <c r="GM33" s="40"/>
      <c r="GN33" s="40"/>
      <c r="GO33" s="40"/>
      <c r="GP33" s="40"/>
    </row>
    <row r="34" spans="1:198">
      <c r="A34" s="19">
        <v>30</v>
      </c>
      <c r="B34" s="24">
        <v>166</v>
      </c>
      <c r="C34" s="109" t="s">
        <v>37</v>
      </c>
      <c r="D34" s="25"/>
      <c r="E34" s="25"/>
      <c r="F34" s="166"/>
      <c r="G34" s="25">
        <f t="shared" si="0"/>
        <v>0</v>
      </c>
      <c r="H34" s="25"/>
      <c r="I34" s="25"/>
      <c r="J34" s="166"/>
      <c r="K34" s="25">
        <f t="shared" si="1"/>
        <v>0</v>
      </c>
      <c r="L34" s="25"/>
      <c r="M34" s="25"/>
      <c r="N34" s="166"/>
      <c r="O34" s="25">
        <f t="shared" si="2"/>
        <v>0</v>
      </c>
      <c r="P34" s="25"/>
      <c r="Q34" s="25"/>
      <c r="R34" s="25"/>
      <c r="S34" s="25">
        <f t="shared" si="3"/>
        <v>0</v>
      </c>
      <c r="T34" s="25"/>
      <c r="U34" s="25"/>
      <c r="V34" s="166"/>
      <c r="W34" s="25">
        <f t="shared" si="4"/>
        <v>0</v>
      </c>
      <c r="X34" s="25"/>
      <c r="Y34" s="25"/>
      <c r="Z34" s="166"/>
      <c r="AA34" s="25">
        <f t="shared" si="5"/>
        <v>0</v>
      </c>
      <c r="AB34" s="25"/>
      <c r="AC34" s="25"/>
      <c r="AD34" s="166"/>
      <c r="AE34" s="25">
        <f t="shared" si="6"/>
        <v>0</v>
      </c>
      <c r="AF34" s="25"/>
      <c r="AG34" s="25"/>
      <c r="AH34" s="166"/>
      <c r="AI34" s="25">
        <f t="shared" si="7"/>
        <v>0</v>
      </c>
      <c r="AJ34" s="25"/>
      <c r="AK34" s="25"/>
      <c r="AL34" s="33"/>
      <c r="AM34" s="25"/>
      <c r="AN34" s="25"/>
      <c r="AO34" s="25"/>
      <c r="AP34" s="26"/>
      <c r="AQ34" s="25"/>
      <c r="AR34" s="25"/>
      <c r="AS34" s="25"/>
      <c r="AT34" s="26"/>
      <c r="AU34" s="25"/>
      <c r="AV34" s="25"/>
      <c r="AW34" s="25"/>
      <c r="AX34" s="33"/>
      <c r="AY34" s="25"/>
      <c r="AZ34" s="28"/>
      <c r="BA34" s="28"/>
      <c r="BB34" s="28"/>
      <c r="BC34" s="28"/>
      <c r="BD34" s="21">
        <f>D34+E34+H34+I34+L34+M34+P34+Q34+T34+U34+X34+Y34+AB34+AC34+AF34+AG34+AJ34+AK34+AN34+AO34+AR34+AS34+AV34+AW34</f>
        <v>0</v>
      </c>
      <c r="BE34" s="22">
        <f t="shared" si="8"/>
        <v>1021000</v>
      </c>
      <c r="BF34" s="22">
        <f t="shared" si="9"/>
        <v>815000</v>
      </c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</row>
    <row r="35" spans="1:198" s="117" customFormat="1">
      <c r="A35" s="19">
        <v>31</v>
      </c>
      <c r="B35" s="110">
        <v>42</v>
      </c>
      <c r="C35" s="111" t="s">
        <v>38</v>
      </c>
      <c r="D35" s="112"/>
      <c r="E35" s="112"/>
      <c r="F35" s="168"/>
      <c r="G35" s="25">
        <f t="shared" si="0"/>
        <v>0</v>
      </c>
      <c r="H35" s="112"/>
      <c r="I35" s="112"/>
      <c r="J35" s="168"/>
      <c r="K35" s="25">
        <f t="shared" si="1"/>
        <v>0</v>
      </c>
      <c r="L35" s="112"/>
      <c r="M35" s="112"/>
      <c r="N35" s="168"/>
      <c r="O35" s="25">
        <f t="shared" si="2"/>
        <v>0</v>
      </c>
      <c r="P35" s="112"/>
      <c r="Q35" s="112"/>
      <c r="R35" s="112"/>
      <c r="S35" s="25">
        <f t="shared" si="3"/>
        <v>0</v>
      </c>
      <c r="T35" s="112"/>
      <c r="U35" s="112"/>
      <c r="V35" s="168"/>
      <c r="W35" s="25">
        <f t="shared" si="4"/>
        <v>0</v>
      </c>
      <c r="X35" s="112"/>
      <c r="Y35" s="112"/>
      <c r="Z35" s="168"/>
      <c r="AA35" s="25">
        <f t="shared" si="5"/>
        <v>0</v>
      </c>
      <c r="AB35" s="112"/>
      <c r="AC35" s="112"/>
      <c r="AD35" s="168"/>
      <c r="AE35" s="25">
        <f t="shared" si="6"/>
        <v>0</v>
      </c>
      <c r="AF35" s="112"/>
      <c r="AG35" s="112"/>
      <c r="AH35" s="168"/>
      <c r="AI35" s="25">
        <f t="shared" si="7"/>
        <v>0</v>
      </c>
      <c r="AJ35" s="112"/>
      <c r="AK35" s="112"/>
      <c r="AL35" s="27"/>
      <c r="AM35" s="112"/>
      <c r="AN35" s="112"/>
      <c r="AO35" s="112"/>
      <c r="AP35" s="113"/>
      <c r="AQ35" s="112"/>
      <c r="AR35" s="112"/>
      <c r="AS35" s="112"/>
      <c r="AT35" s="113"/>
      <c r="AU35" s="112"/>
      <c r="AV35" s="112"/>
      <c r="AW35" s="112"/>
      <c r="AX35" s="27"/>
      <c r="AY35" s="112"/>
      <c r="AZ35" s="114"/>
      <c r="BA35" s="114"/>
      <c r="BB35" s="114"/>
      <c r="BC35" s="114"/>
      <c r="BD35" s="114">
        <f t="shared" si="10"/>
        <v>0</v>
      </c>
      <c r="BE35" s="115">
        <f t="shared" si="8"/>
        <v>1021000</v>
      </c>
      <c r="BF35" s="115">
        <f t="shared" si="9"/>
        <v>815000</v>
      </c>
      <c r="BG35" s="116"/>
      <c r="BH35" s="116"/>
      <c r="BI35" s="116"/>
      <c r="BJ35" s="116"/>
      <c r="BK35" s="116"/>
      <c r="BL35" s="116"/>
      <c r="BM35" s="116"/>
      <c r="BN35" s="116"/>
      <c r="BO35" s="116"/>
      <c r="BP35" s="116"/>
      <c r="BQ35" s="116"/>
      <c r="BR35" s="116"/>
      <c r="BS35" s="116"/>
      <c r="BT35" s="116"/>
      <c r="BU35" s="116"/>
      <c r="BV35" s="116"/>
      <c r="BW35" s="116"/>
      <c r="BX35" s="116"/>
      <c r="BY35" s="116"/>
      <c r="BZ35" s="116"/>
      <c r="CA35" s="116"/>
      <c r="CB35" s="116"/>
      <c r="CC35" s="116"/>
      <c r="CD35" s="116"/>
      <c r="CE35" s="116"/>
      <c r="CF35" s="116"/>
      <c r="CG35" s="116"/>
      <c r="CH35" s="116"/>
      <c r="CI35" s="116"/>
      <c r="CJ35" s="116"/>
      <c r="CK35" s="116"/>
      <c r="CL35" s="116"/>
      <c r="CM35" s="116"/>
      <c r="CN35" s="116"/>
      <c r="CO35" s="116"/>
      <c r="CP35" s="116"/>
      <c r="CQ35" s="116"/>
      <c r="CR35" s="116"/>
      <c r="CS35" s="116"/>
      <c r="CT35" s="116"/>
      <c r="CU35" s="116"/>
      <c r="CV35" s="116"/>
      <c r="CW35" s="116"/>
      <c r="CX35" s="116"/>
      <c r="CY35" s="116"/>
      <c r="CZ35" s="116"/>
      <c r="DA35" s="116"/>
      <c r="DB35" s="116"/>
      <c r="DC35" s="116"/>
      <c r="DD35" s="116"/>
      <c r="DE35" s="116"/>
      <c r="DF35" s="116"/>
      <c r="DG35" s="116"/>
      <c r="DH35" s="116"/>
      <c r="DI35" s="116"/>
      <c r="DJ35" s="116"/>
      <c r="DK35" s="116"/>
      <c r="DL35" s="116"/>
      <c r="DM35" s="116"/>
      <c r="DN35" s="116"/>
      <c r="DO35" s="116"/>
      <c r="DP35" s="116"/>
      <c r="DQ35" s="116"/>
      <c r="DR35" s="116"/>
      <c r="DS35" s="116"/>
      <c r="DT35" s="116"/>
      <c r="DU35" s="116"/>
      <c r="DV35" s="116"/>
      <c r="DW35" s="116"/>
      <c r="DX35" s="116"/>
      <c r="DY35" s="116"/>
      <c r="DZ35" s="116"/>
      <c r="EA35" s="116"/>
      <c r="EB35" s="116"/>
      <c r="EC35" s="116"/>
      <c r="ED35" s="116"/>
      <c r="EE35" s="116"/>
      <c r="EF35" s="116"/>
      <c r="EG35" s="116"/>
      <c r="EH35" s="116"/>
      <c r="EI35" s="116"/>
      <c r="EJ35" s="116"/>
      <c r="EK35" s="116"/>
      <c r="EL35" s="116"/>
      <c r="EM35" s="116"/>
      <c r="EN35" s="116"/>
      <c r="EO35" s="116"/>
      <c r="EP35" s="116"/>
      <c r="EQ35" s="116"/>
      <c r="ER35" s="116"/>
      <c r="ES35" s="116"/>
      <c r="ET35" s="116"/>
      <c r="EU35" s="116"/>
      <c r="EV35" s="116"/>
      <c r="EW35" s="116"/>
      <c r="EX35" s="116"/>
      <c r="EY35" s="116"/>
      <c r="EZ35" s="116"/>
      <c r="FA35" s="116"/>
      <c r="FB35" s="116"/>
      <c r="FC35" s="116"/>
      <c r="FD35" s="116"/>
      <c r="FE35" s="116"/>
      <c r="FF35" s="116"/>
      <c r="FG35" s="116"/>
      <c r="FH35" s="116"/>
      <c r="FI35" s="116"/>
      <c r="FJ35" s="116"/>
      <c r="FK35" s="116"/>
      <c r="FL35" s="116"/>
      <c r="FM35" s="116"/>
      <c r="FN35" s="116"/>
      <c r="FO35" s="116"/>
      <c r="FP35" s="116"/>
      <c r="FQ35" s="116"/>
      <c r="FR35" s="116"/>
      <c r="FS35" s="116"/>
      <c r="FT35" s="116"/>
      <c r="FU35" s="116"/>
      <c r="FV35" s="116"/>
      <c r="FW35" s="116"/>
      <c r="FX35" s="116"/>
      <c r="FY35" s="116"/>
      <c r="FZ35" s="116"/>
      <c r="GA35" s="116"/>
      <c r="GB35" s="116"/>
      <c r="GC35" s="116"/>
      <c r="GD35" s="116"/>
      <c r="GE35" s="116"/>
      <c r="GF35" s="116"/>
      <c r="GG35" s="116"/>
      <c r="GH35" s="116"/>
      <c r="GI35" s="116"/>
      <c r="GJ35" s="116"/>
      <c r="GK35" s="116"/>
      <c r="GL35" s="116"/>
      <c r="GM35" s="116"/>
      <c r="GN35" s="116"/>
      <c r="GO35" s="116"/>
      <c r="GP35" s="116"/>
    </row>
    <row r="36" spans="1:198">
      <c r="A36" s="19">
        <v>32</v>
      </c>
      <c r="B36" s="24">
        <v>206</v>
      </c>
      <c r="C36" s="109" t="s">
        <v>39</v>
      </c>
      <c r="D36" s="25"/>
      <c r="E36" s="25"/>
      <c r="F36" s="166"/>
      <c r="G36" s="25">
        <f t="shared" si="0"/>
        <v>0</v>
      </c>
      <c r="H36" s="25"/>
      <c r="I36" s="25"/>
      <c r="J36" s="166"/>
      <c r="K36" s="25">
        <f t="shared" si="1"/>
        <v>0</v>
      </c>
      <c r="L36" s="25"/>
      <c r="M36" s="25"/>
      <c r="N36" s="166"/>
      <c r="O36" s="25">
        <f t="shared" si="2"/>
        <v>0</v>
      </c>
      <c r="P36" s="25"/>
      <c r="Q36" s="25"/>
      <c r="R36" s="25"/>
      <c r="S36" s="25">
        <f t="shared" si="3"/>
        <v>0</v>
      </c>
      <c r="T36" s="25"/>
      <c r="U36" s="25"/>
      <c r="V36" s="166"/>
      <c r="W36" s="25">
        <f t="shared" si="4"/>
        <v>0</v>
      </c>
      <c r="X36" s="25"/>
      <c r="Y36" s="25"/>
      <c r="Z36" s="166"/>
      <c r="AA36" s="25">
        <f t="shared" si="5"/>
        <v>0</v>
      </c>
      <c r="AB36" s="25"/>
      <c r="AC36" s="25"/>
      <c r="AD36" s="166"/>
      <c r="AE36" s="25">
        <f t="shared" si="6"/>
        <v>0</v>
      </c>
      <c r="AF36" s="25"/>
      <c r="AG36" s="25"/>
      <c r="AH36" s="166"/>
      <c r="AI36" s="25">
        <f t="shared" si="7"/>
        <v>0</v>
      </c>
      <c r="AJ36" s="25"/>
      <c r="AK36" s="25"/>
      <c r="AL36" s="33"/>
      <c r="AM36" s="25"/>
      <c r="AN36" s="25"/>
      <c r="AO36" s="25"/>
      <c r="AP36" s="26"/>
      <c r="AQ36" s="25"/>
      <c r="AR36" s="25"/>
      <c r="AS36" s="25"/>
      <c r="AT36" s="26"/>
      <c r="AU36" s="25"/>
      <c r="AV36" s="25"/>
      <c r="AW36" s="25"/>
      <c r="AX36" s="33"/>
      <c r="AY36" s="25"/>
      <c r="AZ36" s="28"/>
      <c r="BA36" s="28"/>
      <c r="BB36" s="28"/>
      <c r="BC36" s="28"/>
      <c r="BD36" s="21">
        <f t="shared" si="10"/>
        <v>0</v>
      </c>
      <c r="BE36" s="22">
        <f t="shared" si="8"/>
        <v>1021000</v>
      </c>
      <c r="BF36" s="22">
        <f t="shared" si="9"/>
        <v>815000</v>
      </c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</row>
    <row r="37" spans="1:198" s="34" customFormat="1">
      <c r="A37" s="19">
        <v>33</v>
      </c>
      <c r="B37" s="24">
        <v>236</v>
      </c>
      <c r="C37" s="120" t="s">
        <v>40</v>
      </c>
      <c r="D37" s="25">
        <f>9058.82+90588.24</f>
        <v>99647.06</v>
      </c>
      <c r="E37" s="25">
        <v>29488.48</v>
      </c>
      <c r="F37" s="166">
        <f>88/136</f>
        <v>0.6470588235294118</v>
      </c>
      <c r="G37" s="25">
        <f t="shared" si="0"/>
        <v>38740.661999999997</v>
      </c>
      <c r="H37" s="25">
        <v>32635.759999999998</v>
      </c>
      <c r="I37" s="25"/>
      <c r="J37" s="166">
        <f>32/151</f>
        <v>0.2119205298013245</v>
      </c>
      <c r="K37" s="25">
        <f t="shared" si="1"/>
        <v>9790.7279999999992</v>
      </c>
      <c r="L37" s="25">
        <v>30993.71</v>
      </c>
      <c r="M37" s="25"/>
      <c r="N37" s="166">
        <f>32/159</f>
        <v>0.20125786163522014</v>
      </c>
      <c r="O37" s="25">
        <f t="shared" si="2"/>
        <v>9298.1129999999994</v>
      </c>
      <c r="P37" s="25">
        <f>154000*R37</f>
        <v>29508.982035928144</v>
      </c>
      <c r="Q37" s="25"/>
      <c r="R37" s="166">
        <f>32/167</f>
        <v>0.19161676646706588</v>
      </c>
      <c r="S37" s="25">
        <f t="shared" si="3"/>
        <v>8852.6946107784424</v>
      </c>
      <c r="T37" s="25">
        <f>154000*V37</f>
        <v>34867.92452830189</v>
      </c>
      <c r="U37" s="25"/>
      <c r="V37" s="166">
        <f>36/159</f>
        <v>0.22641509433962265</v>
      </c>
      <c r="W37" s="25">
        <f t="shared" si="4"/>
        <v>10460.377358490567</v>
      </c>
      <c r="X37" s="25">
        <f>154000*Z37</f>
        <v>27119.496855345911</v>
      </c>
      <c r="Y37" s="25"/>
      <c r="Z37" s="166">
        <f>28/159</f>
        <v>0.1761006289308176</v>
      </c>
      <c r="AA37" s="25">
        <f t="shared" si="5"/>
        <v>8135.8490566037726</v>
      </c>
      <c r="AB37" s="25">
        <f>154000*AD37</f>
        <v>31500.000000000004</v>
      </c>
      <c r="AC37" s="25"/>
      <c r="AD37" s="166">
        <f>36/176</f>
        <v>0.20454545454545456</v>
      </c>
      <c r="AE37" s="25">
        <f t="shared" si="6"/>
        <v>9450</v>
      </c>
      <c r="AF37" s="25">
        <f>154000*AH37</f>
        <v>30130.434782608696</v>
      </c>
      <c r="AG37" s="25"/>
      <c r="AH37" s="166">
        <f>36/184</f>
        <v>0.19565217391304349</v>
      </c>
      <c r="AI37" s="25">
        <f t="shared" si="7"/>
        <v>9039.1304347826081</v>
      </c>
      <c r="AJ37" s="25"/>
      <c r="AK37" s="25"/>
      <c r="AL37" s="33"/>
      <c r="AM37" s="25"/>
      <c r="AN37" s="25"/>
      <c r="AO37" s="25"/>
      <c r="AP37" s="26"/>
      <c r="AQ37" s="25"/>
      <c r="AR37" s="25"/>
      <c r="AS37" s="25"/>
      <c r="AT37" s="26"/>
      <c r="AU37" s="25"/>
      <c r="AV37" s="25"/>
      <c r="AW37" s="25"/>
      <c r="AX37" s="26"/>
      <c r="AY37" s="25"/>
      <c r="AZ37" s="21"/>
      <c r="BA37" s="21"/>
      <c r="BB37" s="21"/>
      <c r="BC37" s="21"/>
      <c r="BD37" s="21">
        <f t="shared" si="10"/>
        <v>345891.84820218466</v>
      </c>
      <c r="BE37" s="22">
        <f t="shared" si="8"/>
        <v>675108.15179781534</v>
      </c>
      <c r="BF37" s="22">
        <f t="shared" si="9"/>
        <v>469108.15179781534</v>
      </c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  <c r="FY37" s="29"/>
      <c r="FZ37" s="29"/>
      <c r="GA37" s="29"/>
      <c r="GB37" s="29"/>
      <c r="GC37" s="29"/>
      <c r="GD37" s="29"/>
      <c r="GE37" s="29"/>
      <c r="GF37" s="29"/>
      <c r="GG37" s="29"/>
      <c r="GH37" s="29"/>
      <c r="GI37" s="29"/>
      <c r="GJ37" s="29"/>
      <c r="GK37" s="29"/>
      <c r="GL37" s="29"/>
      <c r="GM37" s="29"/>
      <c r="GN37" s="29"/>
      <c r="GO37" s="29"/>
      <c r="GP37" s="29"/>
    </row>
    <row r="38" spans="1:198">
      <c r="A38" s="19">
        <v>34</v>
      </c>
      <c r="B38" s="24">
        <v>52</v>
      </c>
      <c r="C38" s="109" t="s">
        <v>41</v>
      </c>
      <c r="D38" s="25"/>
      <c r="E38" s="25"/>
      <c r="F38" s="166"/>
      <c r="G38" s="25">
        <f t="shared" si="0"/>
        <v>0</v>
      </c>
      <c r="H38" s="25"/>
      <c r="I38" s="25"/>
      <c r="J38" s="166"/>
      <c r="K38" s="25">
        <f t="shared" si="1"/>
        <v>0</v>
      </c>
      <c r="L38" s="25"/>
      <c r="M38" s="25"/>
      <c r="N38" s="166"/>
      <c r="O38" s="25">
        <f t="shared" si="2"/>
        <v>0</v>
      </c>
      <c r="P38" s="25"/>
      <c r="Q38" s="25"/>
      <c r="R38" s="25"/>
      <c r="S38" s="25">
        <f t="shared" si="3"/>
        <v>0</v>
      </c>
      <c r="T38" s="25"/>
      <c r="U38" s="25"/>
      <c r="V38" s="166"/>
      <c r="W38" s="25">
        <f t="shared" si="4"/>
        <v>0</v>
      </c>
      <c r="X38" s="25"/>
      <c r="Y38" s="25"/>
      <c r="Z38" s="166"/>
      <c r="AA38" s="25">
        <f t="shared" si="5"/>
        <v>0</v>
      </c>
      <c r="AB38" s="25"/>
      <c r="AC38" s="25"/>
      <c r="AD38" s="166"/>
      <c r="AE38" s="25">
        <f t="shared" si="6"/>
        <v>0</v>
      </c>
      <c r="AF38" s="25"/>
      <c r="AG38" s="25"/>
      <c r="AH38" s="166"/>
      <c r="AI38" s="25">
        <f t="shared" si="7"/>
        <v>0</v>
      </c>
      <c r="AJ38" s="25"/>
      <c r="AK38" s="25"/>
      <c r="AL38" s="33"/>
      <c r="AM38" s="25"/>
      <c r="AN38" s="25"/>
      <c r="AO38" s="25"/>
      <c r="AP38" s="26"/>
      <c r="AQ38" s="25"/>
      <c r="AR38" s="25"/>
      <c r="AS38" s="25"/>
      <c r="AT38" s="26"/>
      <c r="AU38" s="25"/>
      <c r="AV38" s="25"/>
      <c r="AW38" s="25"/>
      <c r="AX38" s="33"/>
      <c r="AY38" s="25"/>
      <c r="AZ38" s="28"/>
      <c r="BA38" s="28"/>
      <c r="BB38" s="28"/>
      <c r="BC38" s="28"/>
      <c r="BD38" s="21">
        <f t="shared" si="10"/>
        <v>0</v>
      </c>
      <c r="BE38" s="22">
        <f t="shared" si="8"/>
        <v>1021000</v>
      </c>
      <c r="BF38" s="22">
        <f t="shared" si="9"/>
        <v>815000</v>
      </c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</row>
    <row r="39" spans="1:198">
      <c r="A39" s="19">
        <v>35</v>
      </c>
      <c r="B39" s="42">
        <v>184</v>
      </c>
      <c r="C39" s="109" t="s">
        <v>42</v>
      </c>
      <c r="D39" s="25"/>
      <c r="E39" s="25"/>
      <c r="F39" s="166"/>
      <c r="G39" s="25">
        <f t="shared" si="0"/>
        <v>0</v>
      </c>
      <c r="H39" s="25"/>
      <c r="I39" s="25"/>
      <c r="J39" s="166"/>
      <c r="K39" s="25">
        <f t="shared" si="1"/>
        <v>0</v>
      </c>
      <c r="L39" s="25"/>
      <c r="M39" s="25"/>
      <c r="N39" s="166"/>
      <c r="O39" s="25">
        <f t="shared" si="2"/>
        <v>0</v>
      </c>
      <c r="P39" s="25"/>
      <c r="Q39" s="25"/>
      <c r="R39" s="25"/>
      <c r="S39" s="25">
        <f t="shared" si="3"/>
        <v>0</v>
      </c>
      <c r="T39" s="25"/>
      <c r="U39" s="25"/>
      <c r="V39" s="166"/>
      <c r="W39" s="25">
        <f t="shared" si="4"/>
        <v>0</v>
      </c>
      <c r="X39" s="25"/>
      <c r="Y39" s="25"/>
      <c r="Z39" s="166"/>
      <c r="AA39" s="25">
        <f t="shared" si="5"/>
        <v>0</v>
      </c>
      <c r="AB39" s="25"/>
      <c r="AC39" s="25"/>
      <c r="AD39" s="166"/>
      <c r="AE39" s="25">
        <f t="shared" si="6"/>
        <v>0</v>
      </c>
      <c r="AF39" s="25"/>
      <c r="AG39" s="25"/>
      <c r="AH39" s="166"/>
      <c r="AI39" s="25">
        <f t="shared" si="7"/>
        <v>0</v>
      </c>
      <c r="AJ39" s="25"/>
      <c r="AK39" s="25"/>
      <c r="AL39" s="33"/>
      <c r="AM39" s="25"/>
      <c r="AN39" s="25"/>
      <c r="AO39" s="25"/>
      <c r="AP39" s="26"/>
      <c r="AQ39" s="25"/>
      <c r="AR39" s="25"/>
      <c r="AS39" s="25"/>
      <c r="AT39" s="26"/>
      <c r="AU39" s="25"/>
      <c r="AV39" s="25"/>
      <c r="AW39" s="25"/>
      <c r="AX39" s="33"/>
      <c r="AY39" s="25"/>
      <c r="AZ39" s="28"/>
      <c r="BA39" s="28"/>
      <c r="BB39" s="28"/>
      <c r="BC39" s="28"/>
      <c r="BD39" s="21">
        <f t="shared" si="10"/>
        <v>0</v>
      </c>
      <c r="BE39" s="22">
        <f t="shared" si="8"/>
        <v>1021000</v>
      </c>
      <c r="BF39" s="22">
        <f t="shared" si="9"/>
        <v>815000</v>
      </c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</row>
    <row r="40" spans="1:198">
      <c r="A40" s="19">
        <v>36</v>
      </c>
      <c r="B40" s="42">
        <v>159</v>
      </c>
      <c r="C40" s="109" t="s">
        <v>43</v>
      </c>
      <c r="D40" s="25"/>
      <c r="E40" s="25"/>
      <c r="F40" s="166"/>
      <c r="G40" s="25">
        <f t="shared" si="0"/>
        <v>0</v>
      </c>
      <c r="H40" s="25"/>
      <c r="I40" s="25"/>
      <c r="J40" s="166"/>
      <c r="K40" s="25">
        <f t="shared" si="1"/>
        <v>0</v>
      </c>
      <c r="L40" s="25"/>
      <c r="M40" s="25"/>
      <c r="N40" s="166"/>
      <c r="O40" s="25">
        <f t="shared" si="2"/>
        <v>0</v>
      </c>
      <c r="P40" s="25"/>
      <c r="Q40" s="25"/>
      <c r="R40" s="25"/>
      <c r="S40" s="25">
        <f t="shared" si="3"/>
        <v>0</v>
      </c>
      <c r="T40" s="25"/>
      <c r="U40" s="25"/>
      <c r="V40" s="166"/>
      <c r="W40" s="25">
        <f t="shared" si="4"/>
        <v>0</v>
      </c>
      <c r="X40" s="25"/>
      <c r="Y40" s="25"/>
      <c r="Z40" s="166"/>
      <c r="AA40" s="25">
        <f t="shared" si="5"/>
        <v>0</v>
      </c>
      <c r="AB40" s="25"/>
      <c r="AC40" s="25"/>
      <c r="AD40" s="166"/>
      <c r="AE40" s="25">
        <f t="shared" si="6"/>
        <v>0</v>
      </c>
      <c r="AF40" s="25"/>
      <c r="AG40" s="25"/>
      <c r="AH40" s="166"/>
      <c r="AI40" s="25">
        <f t="shared" si="7"/>
        <v>0</v>
      </c>
      <c r="AJ40" s="25"/>
      <c r="AK40" s="25"/>
      <c r="AL40" s="33"/>
      <c r="AM40" s="25"/>
      <c r="AN40" s="25"/>
      <c r="AO40" s="25"/>
      <c r="AP40" s="26"/>
      <c r="AQ40" s="25"/>
      <c r="AR40" s="25"/>
      <c r="AS40" s="25"/>
      <c r="AT40" s="26"/>
      <c r="AU40" s="25"/>
      <c r="AV40" s="25"/>
      <c r="AW40" s="25"/>
      <c r="AX40" s="33"/>
      <c r="AY40" s="25"/>
      <c r="AZ40" s="28"/>
      <c r="BA40" s="28"/>
      <c r="BB40" s="28"/>
      <c r="BC40" s="28"/>
      <c r="BD40" s="21">
        <f t="shared" si="10"/>
        <v>0</v>
      </c>
      <c r="BE40" s="22">
        <f t="shared" si="8"/>
        <v>1021000</v>
      </c>
      <c r="BF40" s="22">
        <f t="shared" si="9"/>
        <v>815000</v>
      </c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</row>
    <row r="41" spans="1:198">
      <c r="A41" s="19">
        <v>37</v>
      </c>
      <c r="B41" s="24">
        <v>143</v>
      </c>
      <c r="C41" s="109" t="s">
        <v>44</v>
      </c>
      <c r="D41" s="25"/>
      <c r="E41" s="25"/>
      <c r="F41" s="166"/>
      <c r="G41" s="25">
        <f t="shared" si="0"/>
        <v>0</v>
      </c>
      <c r="H41" s="25"/>
      <c r="I41" s="25"/>
      <c r="J41" s="166"/>
      <c r="K41" s="25">
        <f t="shared" si="1"/>
        <v>0</v>
      </c>
      <c r="L41" s="25"/>
      <c r="M41" s="25"/>
      <c r="N41" s="166"/>
      <c r="O41" s="25">
        <f t="shared" si="2"/>
        <v>0</v>
      </c>
      <c r="P41" s="25"/>
      <c r="Q41" s="25"/>
      <c r="R41" s="25"/>
      <c r="S41" s="25">
        <f t="shared" si="3"/>
        <v>0</v>
      </c>
      <c r="T41" s="25"/>
      <c r="U41" s="25"/>
      <c r="V41" s="166"/>
      <c r="W41" s="25">
        <f t="shared" si="4"/>
        <v>0</v>
      </c>
      <c r="X41" s="25"/>
      <c r="Y41" s="25"/>
      <c r="Z41" s="166"/>
      <c r="AA41" s="25">
        <f t="shared" si="5"/>
        <v>0</v>
      </c>
      <c r="AB41" s="25"/>
      <c r="AC41" s="25"/>
      <c r="AD41" s="166"/>
      <c r="AE41" s="25">
        <f t="shared" si="6"/>
        <v>0</v>
      </c>
      <c r="AF41" s="25"/>
      <c r="AG41" s="25"/>
      <c r="AH41" s="166"/>
      <c r="AI41" s="25">
        <f t="shared" si="7"/>
        <v>0</v>
      </c>
      <c r="AJ41" s="25"/>
      <c r="AK41" s="25"/>
      <c r="AL41" s="33"/>
      <c r="AM41" s="25"/>
      <c r="AN41" s="25"/>
      <c r="AO41" s="25"/>
      <c r="AP41" s="26"/>
      <c r="AQ41" s="25"/>
      <c r="AR41" s="25"/>
      <c r="AS41" s="25"/>
      <c r="AT41" s="26"/>
      <c r="AU41" s="25"/>
      <c r="AV41" s="25"/>
      <c r="AW41" s="25"/>
      <c r="AX41" s="33"/>
      <c r="AY41" s="25"/>
      <c r="AZ41" s="28"/>
      <c r="BA41" s="28"/>
      <c r="BB41" s="28"/>
      <c r="BC41" s="28"/>
      <c r="BD41" s="21">
        <f t="shared" si="10"/>
        <v>0</v>
      </c>
      <c r="BE41" s="22">
        <f t="shared" si="8"/>
        <v>1021000</v>
      </c>
      <c r="BF41" s="22">
        <f t="shared" si="9"/>
        <v>815000</v>
      </c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</row>
    <row r="42" spans="1:198">
      <c r="A42" s="19">
        <v>38</v>
      </c>
      <c r="B42" s="24">
        <v>65</v>
      </c>
      <c r="C42" s="109" t="s">
        <v>45</v>
      </c>
      <c r="D42" s="25"/>
      <c r="E42" s="25"/>
      <c r="F42" s="166"/>
      <c r="G42" s="25">
        <f t="shared" si="0"/>
        <v>0</v>
      </c>
      <c r="H42" s="25"/>
      <c r="I42" s="25"/>
      <c r="J42" s="166"/>
      <c r="K42" s="25">
        <f t="shared" si="1"/>
        <v>0</v>
      </c>
      <c r="L42" s="25"/>
      <c r="M42" s="25"/>
      <c r="N42" s="166"/>
      <c r="O42" s="25">
        <f t="shared" si="2"/>
        <v>0</v>
      </c>
      <c r="P42" s="25"/>
      <c r="Q42" s="25"/>
      <c r="R42" s="25"/>
      <c r="S42" s="25">
        <f t="shared" si="3"/>
        <v>0</v>
      </c>
      <c r="T42" s="25"/>
      <c r="U42" s="25"/>
      <c r="V42" s="166"/>
      <c r="W42" s="25">
        <f t="shared" si="4"/>
        <v>0</v>
      </c>
      <c r="X42" s="25"/>
      <c r="Y42" s="25"/>
      <c r="Z42" s="166"/>
      <c r="AA42" s="25">
        <f t="shared" si="5"/>
        <v>0</v>
      </c>
      <c r="AB42" s="25"/>
      <c r="AC42" s="25"/>
      <c r="AD42" s="166"/>
      <c r="AE42" s="25">
        <f t="shared" si="6"/>
        <v>0</v>
      </c>
      <c r="AF42" s="25"/>
      <c r="AG42" s="25"/>
      <c r="AH42" s="166"/>
      <c r="AI42" s="25">
        <f t="shared" si="7"/>
        <v>0</v>
      </c>
      <c r="AJ42" s="25"/>
      <c r="AK42" s="25"/>
      <c r="AL42" s="33"/>
      <c r="AM42" s="25"/>
      <c r="AN42" s="25"/>
      <c r="AO42" s="25"/>
      <c r="AP42" s="26"/>
      <c r="AQ42" s="25"/>
      <c r="AR42" s="25"/>
      <c r="AS42" s="25"/>
      <c r="AT42" s="26"/>
      <c r="AU42" s="25"/>
      <c r="AV42" s="25"/>
      <c r="AW42" s="25"/>
      <c r="AX42" s="33"/>
      <c r="AY42" s="25"/>
      <c r="AZ42" s="28"/>
      <c r="BA42" s="28"/>
      <c r="BB42" s="28"/>
      <c r="BC42" s="28"/>
      <c r="BD42" s="21">
        <f t="shared" si="10"/>
        <v>0</v>
      </c>
      <c r="BE42" s="22">
        <f t="shared" si="8"/>
        <v>1021000</v>
      </c>
      <c r="BF42" s="22">
        <f t="shared" si="9"/>
        <v>815000</v>
      </c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</row>
    <row r="43" spans="1:198" ht="14.25">
      <c r="A43" s="19">
        <v>39</v>
      </c>
      <c r="B43" s="24">
        <v>211</v>
      </c>
      <c r="C43" s="109" t="s">
        <v>46</v>
      </c>
      <c r="D43" s="25"/>
      <c r="E43" s="25"/>
      <c r="F43" s="166"/>
      <c r="G43" s="25">
        <f t="shared" si="0"/>
        <v>0</v>
      </c>
      <c r="H43" s="25"/>
      <c r="I43" s="25"/>
      <c r="J43" s="166"/>
      <c r="K43" s="25">
        <f t="shared" si="1"/>
        <v>0</v>
      </c>
      <c r="L43" s="25"/>
      <c r="M43" s="25"/>
      <c r="N43" s="166"/>
      <c r="O43" s="25">
        <f t="shared" si="2"/>
        <v>0</v>
      </c>
      <c r="P43" s="25"/>
      <c r="Q43" s="25"/>
      <c r="R43" s="25"/>
      <c r="S43" s="25">
        <f t="shared" si="3"/>
        <v>0</v>
      </c>
      <c r="T43" s="25"/>
      <c r="U43" s="25"/>
      <c r="V43" s="166"/>
      <c r="W43" s="25">
        <f t="shared" si="4"/>
        <v>0</v>
      </c>
      <c r="X43" s="25"/>
      <c r="Y43" s="25"/>
      <c r="Z43" s="166"/>
      <c r="AA43" s="25">
        <f t="shared" si="5"/>
        <v>0</v>
      </c>
      <c r="AB43" s="25"/>
      <c r="AC43" s="25"/>
      <c r="AD43" s="166"/>
      <c r="AE43" s="25">
        <f t="shared" si="6"/>
        <v>0</v>
      </c>
      <c r="AF43" s="25"/>
      <c r="AG43" s="25"/>
      <c r="AH43" s="166"/>
      <c r="AI43" s="25">
        <f t="shared" si="7"/>
        <v>0</v>
      </c>
      <c r="AJ43" s="25"/>
      <c r="AK43" s="25"/>
      <c r="AL43" s="33"/>
      <c r="AM43" s="25"/>
      <c r="AN43" s="35"/>
      <c r="AO43" s="25"/>
      <c r="AP43" s="26"/>
      <c r="AQ43" s="25"/>
      <c r="AR43" s="25"/>
      <c r="AS43" s="25"/>
      <c r="AT43" s="26"/>
      <c r="AU43" s="25"/>
      <c r="AV43" s="25"/>
      <c r="AW43" s="25"/>
      <c r="AX43" s="33"/>
      <c r="AY43" s="25"/>
      <c r="AZ43" s="28"/>
      <c r="BA43" s="28"/>
      <c r="BB43" s="28"/>
      <c r="BC43" s="28"/>
      <c r="BD43" s="21">
        <f t="shared" si="10"/>
        <v>0</v>
      </c>
      <c r="BE43" s="22">
        <f t="shared" si="8"/>
        <v>1021000</v>
      </c>
      <c r="BF43" s="22">
        <f t="shared" si="9"/>
        <v>815000</v>
      </c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  <c r="FY43" s="29"/>
      <c r="FZ43" s="29"/>
      <c r="GA43" s="29"/>
      <c r="GB43" s="29"/>
      <c r="GC43" s="29"/>
      <c r="GD43" s="29"/>
      <c r="GE43" s="29"/>
      <c r="GF43" s="29"/>
      <c r="GG43" s="29"/>
      <c r="GH43" s="29"/>
      <c r="GI43" s="29"/>
      <c r="GJ43" s="29"/>
      <c r="GK43" s="29"/>
      <c r="GL43" s="29"/>
      <c r="GM43" s="29"/>
      <c r="GN43" s="29"/>
      <c r="GO43" s="29"/>
      <c r="GP43" s="29"/>
    </row>
    <row r="44" spans="1:198">
      <c r="A44" s="19">
        <v>40</v>
      </c>
      <c r="B44" s="42">
        <v>154</v>
      </c>
      <c r="C44" s="109" t="s">
        <v>47</v>
      </c>
      <c r="D44" s="25"/>
      <c r="E44" s="25"/>
      <c r="F44" s="166"/>
      <c r="G44" s="25">
        <f t="shared" si="0"/>
        <v>0</v>
      </c>
      <c r="H44" s="25"/>
      <c r="I44" s="25"/>
      <c r="J44" s="166"/>
      <c r="K44" s="25">
        <f t="shared" si="1"/>
        <v>0</v>
      </c>
      <c r="L44" s="25"/>
      <c r="M44" s="25"/>
      <c r="N44" s="166"/>
      <c r="O44" s="25">
        <f t="shared" si="2"/>
        <v>0</v>
      </c>
      <c r="P44" s="25"/>
      <c r="Q44" s="25"/>
      <c r="R44" s="25"/>
      <c r="S44" s="25">
        <f t="shared" si="3"/>
        <v>0</v>
      </c>
      <c r="T44" s="25"/>
      <c r="U44" s="25"/>
      <c r="V44" s="166"/>
      <c r="W44" s="25">
        <f t="shared" si="4"/>
        <v>0</v>
      </c>
      <c r="X44" s="25"/>
      <c r="Y44" s="25"/>
      <c r="Z44" s="166"/>
      <c r="AA44" s="25">
        <f t="shared" si="5"/>
        <v>0</v>
      </c>
      <c r="AB44" s="25"/>
      <c r="AC44" s="25"/>
      <c r="AD44" s="166"/>
      <c r="AE44" s="25">
        <f t="shared" si="6"/>
        <v>0</v>
      </c>
      <c r="AF44" s="25"/>
      <c r="AG44" s="25"/>
      <c r="AH44" s="166"/>
      <c r="AI44" s="25">
        <f t="shared" si="7"/>
        <v>0</v>
      </c>
      <c r="AJ44" s="25"/>
      <c r="AK44" s="25"/>
      <c r="AL44" s="33"/>
      <c r="AM44" s="25"/>
      <c r="AN44" s="25"/>
      <c r="AO44" s="25"/>
      <c r="AP44" s="26"/>
      <c r="AQ44" s="25"/>
      <c r="AR44" s="25"/>
      <c r="AS44" s="25"/>
      <c r="AT44" s="26"/>
      <c r="AU44" s="25"/>
      <c r="AV44" s="25"/>
      <c r="AW44" s="25"/>
      <c r="AX44" s="33"/>
      <c r="AY44" s="25"/>
      <c r="AZ44" s="28"/>
      <c r="BA44" s="28"/>
      <c r="BB44" s="28"/>
      <c r="BC44" s="28"/>
      <c r="BD44" s="21">
        <f t="shared" si="10"/>
        <v>0</v>
      </c>
      <c r="BE44" s="22">
        <f t="shared" si="8"/>
        <v>1021000</v>
      </c>
      <c r="BF44" s="22">
        <f t="shared" si="9"/>
        <v>815000</v>
      </c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  <c r="FY44" s="29"/>
      <c r="FZ44" s="29"/>
      <c r="GA44" s="29"/>
      <c r="GB44" s="29"/>
      <c r="GC44" s="29"/>
      <c r="GD44" s="29"/>
      <c r="GE44" s="29"/>
      <c r="GF44" s="29"/>
      <c r="GG44" s="29"/>
      <c r="GH44" s="29"/>
      <c r="GI44" s="29"/>
      <c r="GJ44" s="29"/>
      <c r="GK44" s="29"/>
      <c r="GL44" s="29"/>
      <c r="GM44" s="29"/>
      <c r="GN44" s="29"/>
      <c r="GO44" s="29"/>
      <c r="GP44" s="29"/>
    </row>
    <row r="45" spans="1:198">
      <c r="A45" s="19">
        <v>41</v>
      </c>
      <c r="B45" s="24">
        <v>188</v>
      </c>
      <c r="C45" s="109" t="s">
        <v>48</v>
      </c>
      <c r="D45" s="25"/>
      <c r="E45" s="25"/>
      <c r="F45" s="166"/>
      <c r="G45" s="25">
        <f t="shared" si="0"/>
        <v>0</v>
      </c>
      <c r="H45" s="25"/>
      <c r="I45" s="25"/>
      <c r="J45" s="166"/>
      <c r="K45" s="25">
        <f t="shared" si="1"/>
        <v>0</v>
      </c>
      <c r="L45" s="25"/>
      <c r="M45" s="25"/>
      <c r="N45" s="166"/>
      <c r="O45" s="25">
        <f t="shared" si="2"/>
        <v>0</v>
      </c>
      <c r="P45" s="25"/>
      <c r="Q45" s="25"/>
      <c r="R45" s="25"/>
      <c r="S45" s="25">
        <f t="shared" si="3"/>
        <v>0</v>
      </c>
      <c r="T45" s="25"/>
      <c r="U45" s="25"/>
      <c r="V45" s="166"/>
      <c r="W45" s="25">
        <f t="shared" si="4"/>
        <v>0</v>
      </c>
      <c r="X45" s="25"/>
      <c r="Y45" s="25"/>
      <c r="Z45" s="166"/>
      <c r="AA45" s="25">
        <f t="shared" si="5"/>
        <v>0</v>
      </c>
      <c r="AB45" s="25"/>
      <c r="AC45" s="25"/>
      <c r="AD45" s="166"/>
      <c r="AE45" s="25">
        <f t="shared" si="6"/>
        <v>0</v>
      </c>
      <c r="AF45" s="25"/>
      <c r="AG45" s="25"/>
      <c r="AH45" s="166"/>
      <c r="AI45" s="25">
        <f t="shared" si="7"/>
        <v>0</v>
      </c>
      <c r="AJ45" s="25"/>
      <c r="AK45" s="25"/>
      <c r="AL45" s="33"/>
      <c r="AM45" s="25"/>
      <c r="AN45" s="25"/>
      <c r="AO45" s="25"/>
      <c r="AP45" s="26"/>
      <c r="AQ45" s="25"/>
      <c r="AR45" s="25"/>
      <c r="AS45" s="25"/>
      <c r="AT45" s="26"/>
      <c r="AU45" s="25"/>
      <c r="AV45" s="25"/>
      <c r="AW45" s="25"/>
      <c r="AX45" s="33"/>
      <c r="AY45" s="25"/>
      <c r="AZ45" s="28"/>
      <c r="BA45" s="28"/>
      <c r="BB45" s="28"/>
      <c r="BC45" s="28"/>
      <c r="BD45" s="21">
        <f t="shared" si="10"/>
        <v>0</v>
      </c>
      <c r="BE45" s="22">
        <f t="shared" si="8"/>
        <v>1021000</v>
      </c>
      <c r="BF45" s="22">
        <f t="shared" si="9"/>
        <v>815000</v>
      </c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  <c r="FY45" s="29"/>
      <c r="FZ45" s="29"/>
      <c r="GA45" s="29"/>
      <c r="GB45" s="29"/>
      <c r="GC45" s="29"/>
      <c r="GD45" s="29"/>
      <c r="GE45" s="29"/>
      <c r="GF45" s="29"/>
      <c r="GG45" s="29"/>
      <c r="GH45" s="29"/>
      <c r="GI45" s="29"/>
      <c r="GJ45" s="29"/>
      <c r="GK45" s="29"/>
      <c r="GL45" s="29"/>
      <c r="GM45" s="29"/>
      <c r="GN45" s="29"/>
      <c r="GO45" s="29"/>
      <c r="GP45" s="29"/>
    </row>
    <row r="46" spans="1:198">
      <c r="A46" s="19">
        <v>42</v>
      </c>
      <c r="B46" s="24">
        <v>187</v>
      </c>
      <c r="C46" s="109" t="s">
        <v>49</v>
      </c>
      <c r="D46" s="25"/>
      <c r="E46" s="25"/>
      <c r="F46" s="166"/>
      <c r="G46" s="25">
        <f t="shared" si="0"/>
        <v>0</v>
      </c>
      <c r="H46" s="25"/>
      <c r="I46" s="25"/>
      <c r="J46" s="166"/>
      <c r="K46" s="25">
        <f t="shared" si="1"/>
        <v>0</v>
      </c>
      <c r="L46" s="25"/>
      <c r="M46" s="25"/>
      <c r="N46" s="166"/>
      <c r="O46" s="25">
        <f t="shared" si="2"/>
        <v>0</v>
      </c>
      <c r="P46" s="25"/>
      <c r="Q46" s="25"/>
      <c r="R46" s="25"/>
      <c r="S46" s="25">
        <f t="shared" si="3"/>
        <v>0</v>
      </c>
      <c r="T46" s="25"/>
      <c r="U46" s="25"/>
      <c r="V46" s="166"/>
      <c r="W46" s="25">
        <f t="shared" si="4"/>
        <v>0</v>
      </c>
      <c r="X46" s="25"/>
      <c r="Y46" s="25"/>
      <c r="Z46" s="166"/>
      <c r="AA46" s="25">
        <f t="shared" si="5"/>
        <v>0</v>
      </c>
      <c r="AB46" s="25"/>
      <c r="AC46" s="25"/>
      <c r="AD46" s="166"/>
      <c r="AE46" s="25">
        <f t="shared" si="6"/>
        <v>0</v>
      </c>
      <c r="AF46" s="25"/>
      <c r="AG46" s="25"/>
      <c r="AH46" s="166"/>
      <c r="AI46" s="25">
        <f t="shared" si="7"/>
        <v>0</v>
      </c>
      <c r="AJ46" s="25"/>
      <c r="AK46" s="25"/>
      <c r="AL46" s="33"/>
      <c r="AM46" s="25"/>
      <c r="AN46" s="25"/>
      <c r="AO46" s="25"/>
      <c r="AP46" s="26"/>
      <c r="AQ46" s="25"/>
      <c r="AR46" s="25"/>
      <c r="AS46" s="25"/>
      <c r="AT46" s="26"/>
      <c r="AU46" s="25"/>
      <c r="AV46" s="25"/>
      <c r="AW46" s="25"/>
      <c r="AX46" s="33"/>
      <c r="AY46" s="25"/>
      <c r="AZ46" s="28"/>
      <c r="BA46" s="28"/>
      <c r="BB46" s="28"/>
      <c r="BC46" s="28"/>
      <c r="BD46" s="21">
        <f t="shared" si="10"/>
        <v>0</v>
      </c>
      <c r="BE46" s="22">
        <f t="shared" si="8"/>
        <v>1021000</v>
      </c>
      <c r="BF46" s="22">
        <f t="shared" si="9"/>
        <v>815000</v>
      </c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  <c r="FY46" s="29"/>
      <c r="FZ46" s="29"/>
      <c r="GA46" s="29"/>
      <c r="GB46" s="29"/>
      <c r="GC46" s="29"/>
      <c r="GD46" s="29"/>
      <c r="GE46" s="29"/>
      <c r="GF46" s="29"/>
      <c r="GG46" s="29"/>
      <c r="GH46" s="29"/>
      <c r="GI46" s="29"/>
      <c r="GJ46" s="29"/>
      <c r="GK46" s="29"/>
      <c r="GL46" s="29"/>
      <c r="GM46" s="29"/>
      <c r="GN46" s="29"/>
      <c r="GO46" s="29"/>
      <c r="GP46" s="29"/>
    </row>
    <row r="47" spans="1:198" s="34" customFormat="1">
      <c r="A47" s="19">
        <v>43</v>
      </c>
      <c r="B47" s="24">
        <v>237</v>
      </c>
      <c r="C47" s="120" t="s">
        <v>50</v>
      </c>
      <c r="D47" s="25">
        <v>95000</v>
      </c>
      <c r="E47" s="25"/>
      <c r="F47" s="166">
        <v>1</v>
      </c>
      <c r="G47" s="25">
        <f t="shared" si="0"/>
        <v>28500</v>
      </c>
      <c r="H47" s="25">
        <v>20132.45</v>
      </c>
      <c r="I47" s="25"/>
      <c r="J47" s="166">
        <f>32/151</f>
        <v>0.2119205298013245</v>
      </c>
      <c r="K47" s="25">
        <f t="shared" si="1"/>
        <v>6039.7349999999997</v>
      </c>
      <c r="L47" s="25">
        <v>19119.5</v>
      </c>
      <c r="M47" s="25"/>
      <c r="N47" s="166">
        <f>32/159</f>
        <v>0.20125786163522014</v>
      </c>
      <c r="O47" s="25">
        <f t="shared" si="2"/>
        <v>5735.8499999999995</v>
      </c>
      <c r="P47" s="25">
        <f>95000*R47</f>
        <v>18203.592814371259</v>
      </c>
      <c r="Q47" s="25"/>
      <c r="R47" s="166">
        <f>32/167</f>
        <v>0.19161676646706588</v>
      </c>
      <c r="S47" s="25">
        <f t="shared" si="3"/>
        <v>5461.0778443113777</v>
      </c>
      <c r="T47" s="25">
        <f>95000*V47</f>
        <v>21509.433962264153</v>
      </c>
      <c r="U47" s="25"/>
      <c r="V47" s="166">
        <f>36/159</f>
        <v>0.22641509433962265</v>
      </c>
      <c r="W47" s="25">
        <f t="shared" si="4"/>
        <v>6452.830188679246</v>
      </c>
      <c r="X47" s="25">
        <f>95000*Z47</f>
        <v>16729.559748427673</v>
      </c>
      <c r="Y47" s="25"/>
      <c r="Z47" s="166">
        <f>28/159</f>
        <v>0.1761006289308176</v>
      </c>
      <c r="AA47" s="25">
        <f t="shared" si="5"/>
        <v>5018.867924528302</v>
      </c>
      <c r="AB47" s="25">
        <f>95000*AD47</f>
        <v>19431.818181818184</v>
      </c>
      <c r="AC47" s="25"/>
      <c r="AD47" s="166">
        <f>36/176</f>
        <v>0.20454545454545456</v>
      </c>
      <c r="AE47" s="25">
        <f t="shared" si="6"/>
        <v>5829.545454545455</v>
      </c>
      <c r="AF47" s="25">
        <f>95000*AH47</f>
        <v>18586.956521739132</v>
      </c>
      <c r="AG47" s="25"/>
      <c r="AH47" s="166">
        <f>36/184</f>
        <v>0.19565217391304349</v>
      </c>
      <c r="AI47" s="25">
        <f t="shared" si="7"/>
        <v>5576.086956521739</v>
      </c>
      <c r="AJ47" s="25"/>
      <c r="AK47" s="25"/>
      <c r="AL47" s="33"/>
      <c r="AM47" s="25"/>
      <c r="AN47" s="25"/>
      <c r="AO47" s="25"/>
      <c r="AP47" s="26"/>
      <c r="AQ47" s="25"/>
      <c r="AR47" s="25"/>
      <c r="AS47" s="25"/>
      <c r="AT47" s="26"/>
      <c r="AU47" s="25"/>
      <c r="AV47" s="25"/>
      <c r="AW47" s="25"/>
      <c r="AX47" s="26"/>
      <c r="AY47" s="25"/>
      <c r="AZ47" s="21"/>
      <c r="BA47" s="21"/>
      <c r="BB47" s="21"/>
      <c r="BC47" s="21"/>
      <c r="BD47" s="21">
        <f t="shared" si="10"/>
        <v>228713.31122862041</v>
      </c>
      <c r="BE47" s="22">
        <f t="shared" si="8"/>
        <v>792286.68877137965</v>
      </c>
      <c r="BF47" s="22">
        <f t="shared" si="9"/>
        <v>586286.68877137965</v>
      </c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</row>
    <row r="48" spans="1:198">
      <c r="A48" s="19">
        <v>44</v>
      </c>
      <c r="B48" s="24">
        <v>131</v>
      </c>
      <c r="C48" s="109" t="s">
        <v>51</v>
      </c>
      <c r="D48" s="25"/>
      <c r="E48" s="25"/>
      <c r="F48" s="166"/>
      <c r="G48" s="25">
        <f t="shared" si="0"/>
        <v>0</v>
      </c>
      <c r="H48" s="25"/>
      <c r="I48" s="25"/>
      <c r="J48" s="166"/>
      <c r="K48" s="25">
        <f t="shared" si="1"/>
        <v>0</v>
      </c>
      <c r="L48" s="25"/>
      <c r="M48" s="25"/>
      <c r="N48" s="166"/>
      <c r="O48" s="25">
        <f t="shared" si="2"/>
        <v>0</v>
      </c>
      <c r="P48" s="25"/>
      <c r="Q48" s="25"/>
      <c r="R48" s="25"/>
      <c r="S48" s="25">
        <f t="shared" si="3"/>
        <v>0</v>
      </c>
      <c r="T48" s="25"/>
      <c r="U48" s="25"/>
      <c r="V48" s="166"/>
      <c r="W48" s="25">
        <f t="shared" si="4"/>
        <v>0</v>
      </c>
      <c r="X48" s="25"/>
      <c r="Y48" s="25"/>
      <c r="Z48" s="166"/>
      <c r="AA48" s="25">
        <f t="shared" si="5"/>
        <v>0</v>
      </c>
      <c r="AB48" s="25"/>
      <c r="AC48" s="25"/>
      <c r="AD48" s="166"/>
      <c r="AE48" s="25">
        <f t="shared" si="6"/>
        <v>0</v>
      </c>
      <c r="AF48" s="25"/>
      <c r="AG48" s="25"/>
      <c r="AH48" s="166"/>
      <c r="AI48" s="25">
        <f t="shared" si="7"/>
        <v>0</v>
      </c>
      <c r="AJ48" s="25"/>
      <c r="AK48" s="25"/>
      <c r="AL48" s="33"/>
      <c r="AM48" s="25"/>
      <c r="AN48" s="25"/>
      <c r="AO48" s="25"/>
      <c r="AP48" s="26"/>
      <c r="AQ48" s="25"/>
      <c r="AR48" s="25"/>
      <c r="AS48" s="25"/>
      <c r="AT48" s="26"/>
      <c r="AU48" s="25"/>
      <c r="AV48" s="25"/>
      <c r="AW48" s="25"/>
      <c r="AX48" s="33"/>
      <c r="AY48" s="25"/>
      <c r="AZ48" s="28"/>
      <c r="BA48" s="28"/>
      <c r="BB48" s="28"/>
      <c r="BC48" s="28"/>
      <c r="BD48" s="21">
        <f t="shared" si="10"/>
        <v>0</v>
      </c>
      <c r="BE48" s="22">
        <f t="shared" si="8"/>
        <v>1021000</v>
      </c>
      <c r="BF48" s="22">
        <f t="shared" si="9"/>
        <v>815000</v>
      </c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</row>
    <row r="49" spans="1:198" s="34" customFormat="1">
      <c r="A49" s="19">
        <v>45</v>
      </c>
      <c r="B49" s="24">
        <v>238</v>
      </c>
      <c r="C49" s="120" t="s">
        <v>52</v>
      </c>
      <c r="D49" s="25">
        <f>61176.47+6117.65</f>
        <v>67294.12</v>
      </c>
      <c r="E49" s="25"/>
      <c r="F49" s="166">
        <f>104/136</f>
        <v>0.76470588235294112</v>
      </c>
      <c r="G49" s="25">
        <f t="shared" si="0"/>
        <v>20188.235999999997</v>
      </c>
      <c r="H49" s="25">
        <f>16953.64+1695.36</f>
        <v>18649</v>
      </c>
      <c r="I49" s="25"/>
      <c r="J49" s="166">
        <f>32/151</f>
        <v>0.2119205298013245</v>
      </c>
      <c r="K49" s="25">
        <f t="shared" si="1"/>
        <v>5594.7</v>
      </c>
      <c r="L49" s="25">
        <f>16100.63+1610.06</f>
        <v>17710.689999999999</v>
      </c>
      <c r="M49" s="25"/>
      <c r="N49" s="166">
        <f>32/159</f>
        <v>0.20125786163522014</v>
      </c>
      <c r="O49" s="25">
        <f t="shared" si="2"/>
        <v>5313.2069999999994</v>
      </c>
      <c r="P49" s="25">
        <f>88000*R49</f>
        <v>16862.275449101799</v>
      </c>
      <c r="Q49" s="25"/>
      <c r="R49" s="166">
        <f>32/167</f>
        <v>0.19161676646706588</v>
      </c>
      <c r="S49" s="25">
        <f t="shared" si="3"/>
        <v>5058.6826347305396</v>
      </c>
      <c r="T49" s="25">
        <f>88000*V49</f>
        <v>19924.528301886792</v>
      </c>
      <c r="U49" s="25"/>
      <c r="V49" s="166">
        <f>36/159</f>
        <v>0.22641509433962265</v>
      </c>
      <c r="W49" s="25">
        <f t="shared" si="4"/>
        <v>5977.3584905660373</v>
      </c>
      <c r="X49" s="25">
        <f>88000*Z49</f>
        <v>15496.855345911948</v>
      </c>
      <c r="Y49" s="25"/>
      <c r="Z49" s="166">
        <f>28/159</f>
        <v>0.1761006289308176</v>
      </c>
      <c r="AA49" s="25">
        <f t="shared" si="5"/>
        <v>4649.0566037735844</v>
      </c>
      <c r="AB49" s="25">
        <f>88000*AD49</f>
        <v>18000</v>
      </c>
      <c r="AC49" s="25"/>
      <c r="AD49" s="166">
        <f>36/176</f>
        <v>0.20454545454545456</v>
      </c>
      <c r="AE49" s="25">
        <f t="shared" si="6"/>
        <v>5400</v>
      </c>
      <c r="AF49" s="25">
        <f>88000*AH49</f>
        <v>17217.391304347828</v>
      </c>
      <c r="AG49" s="25"/>
      <c r="AH49" s="166">
        <f>36/184</f>
        <v>0.19565217391304349</v>
      </c>
      <c r="AI49" s="25">
        <f t="shared" si="7"/>
        <v>5165.217391304348</v>
      </c>
      <c r="AJ49" s="25"/>
      <c r="AK49" s="25"/>
      <c r="AL49" s="26"/>
      <c r="AM49" s="25"/>
      <c r="AN49" s="25"/>
      <c r="AO49" s="25"/>
      <c r="AP49" s="26"/>
      <c r="AQ49" s="25"/>
      <c r="AR49" s="25"/>
      <c r="AS49" s="25"/>
      <c r="AT49" s="26"/>
      <c r="AU49" s="25"/>
      <c r="AV49" s="25"/>
      <c r="AW49" s="25"/>
      <c r="AX49" s="26"/>
      <c r="AY49" s="25"/>
      <c r="AZ49" s="21"/>
      <c r="BA49" s="21"/>
      <c r="BB49" s="21"/>
      <c r="BC49" s="21"/>
      <c r="BD49" s="21">
        <f t="shared" si="10"/>
        <v>191154.86040124838</v>
      </c>
      <c r="BE49" s="22">
        <f t="shared" si="8"/>
        <v>829845.13959875167</v>
      </c>
      <c r="BF49" s="22">
        <f t="shared" si="9"/>
        <v>623845.13959875167</v>
      </c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</row>
    <row r="50" spans="1:198" s="129" customFormat="1">
      <c r="A50" s="19">
        <v>46</v>
      </c>
      <c r="B50" s="121">
        <v>226</v>
      </c>
      <c r="C50" s="122" t="s">
        <v>75</v>
      </c>
      <c r="D50" s="123">
        <f>1764.71+176.47</f>
        <v>1941.18</v>
      </c>
      <c r="E50" s="123"/>
      <c r="F50" s="143">
        <f>12/136</f>
        <v>8.8235294117647065E-2</v>
      </c>
      <c r="G50" s="25">
        <f t="shared" si="0"/>
        <v>582.35400000000004</v>
      </c>
      <c r="H50" s="123">
        <f>2119.21+211.92</f>
        <v>2331.13</v>
      </c>
      <c r="I50" s="123"/>
      <c r="J50" s="143">
        <f>16/151</f>
        <v>0.10596026490066225</v>
      </c>
      <c r="K50" s="25">
        <f t="shared" si="1"/>
        <v>699.33900000000006</v>
      </c>
      <c r="L50" s="123">
        <f>2012.58+201.26</f>
        <v>2213.84</v>
      </c>
      <c r="M50" s="123"/>
      <c r="N50" s="143">
        <f>16/159</f>
        <v>0.10062893081761007</v>
      </c>
      <c r="O50" s="25">
        <f t="shared" si="2"/>
        <v>664.15200000000004</v>
      </c>
      <c r="P50" s="123">
        <f>22000*R50</f>
        <v>2107.7844311377248</v>
      </c>
      <c r="Q50" s="123"/>
      <c r="R50" s="143">
        <f>16/167</f>
        <v>9.580838323353294E-2</v>
      </c>
      <c r="S50" s="25">
        <f t="shared" si="3"/>
        <v>632.33532934131745</v>
      </c>
      <c r="T50" s="123">
        <f>22000*V50</f>
        <v>2767.2955974842766</v>
      </c>
      <c r="U50" s="123"/>
      <c r="V50" s="143">
        <f>20/159</f>
        <v>0.12578616352201258</v>
      </c>
      <c r="W50" s="25">
        <f t="shared" si="4"/>
        <v>830.18867924528297</v>
      </c>
      <c r="X50" s="123">
        <f>22000*Z50</f>
        <v>2213.8364779874214</v>
      </c>
      <c r="Y50" s="123"/>
      <c r="Z50" s="143">
        <f>16/159</f>
        <v>0.10062893081761007</v>
      </c>
      <c r="AA50" s="25">
        <f t="shared" si="5"/>
        <v>664.15094339622635</v>
      </c>
      <c r="AB50" s="123">
        <f>22000*AD50</f>
        <v>2000</v>
      </c>
      <c r="AC50" s="123"/>
      <c r="AD50" s="143">
        <f>16/176</f>
        <v>9.0909090909090912E-2</v>
      </c>
      <c r="AE50" s="25">
        <f t="shared" si="6"/>
        <v>600</v>
      </c>
      <c r="AF50" s="123">
        <f>22000*AH50</f>
        <v>2391.304347826087</v>
      </c>
      <c r="AG50" s="123"/>
      <c r="AH50" s="143">
        <f>20/184</f>
        <v>0.10869565217391304</v>
      </c>
      <c r="AI50" s="25">
        <f t="shared" si="7"/>
        <v>717.39130434782612</v>
      </c>
      <c r="AJ50" s="123"/>
      <c r="AK50" s="123"/>
      <c r="AL50" s="124"/>
      <c r="AM50" s="123"/>
      <c r="AN50" s="123"/>
      <c r="AO50" s="123"/>
      <c r="AP50" s="125"/>
      <c r="AQ50" s="123"/>
      <c r="AR50" s="123"/>
      <c r="AS50" s="123"/>
      <c r="AT50" s="125"/>
      <c r="AU50" s="123"/>
      <c r="AV50" s="123"/>
      <c r="AW50" s="123"/>
      <c r="AX50" s="125"/>
      <c r="AY50" s="123"/>
      <c r="AZ50" s="126"/>
      <c r="BA50" s="126"/>
      <c r="BB50" s="126"/>
      <c r="BC50" s="126"/>
      <c r="BD50" s="126">
        <f t="shared" si="10"/>
        <v>17966.37085443551</v>
      </c>
      <c r="BE50" s="127">
        <f t="shared" si="8"/>
        <v>1003033.6291455645</v>
      </c>
      <c r="BF50" s="127">
        <f t="shared" si="9"/>
        <v>797033.62914556451</v>
      </c>
      <c r="BG50" s="128"/>
      <c r="BH50" s="128"/>
      <c r="BI50" s="128"/>
      <c r="BJ50" s="128"/>
      <c r="BK50" s="128"/>
      <c r="BL50" s="128"/>
      <c r="BM50" s="128"/>
      <c r="BN50" s="128"/>
      <c r="BO50" s="128"/>
      <c r="BP50" s="128"/>
      <c r="BQ50" s="128"/>
      <c r="BR50" s="128"/>
      <c r="BS50" s="128"/>
      <c r="BT50" s="128"/>
      <c r="BU50" s="128"/>
      <c r="BV50" s="128"/>
      <c r="BW50" s="128"/>
      <c r="BX50" s="128"/>
      <c r="BY50" s="128"/>
      <c r="BZ50" s="128"/>
      <c r="CA50" s="128"/>
      <c r="CB50" s="128"/>
      <c r="CC50" s="128"/>
      <c r="CD50" s="128"/>
      <c r="CE50" s="128"/>
      <c r="CF50" s="128"/>
      <c r="CG50" s="128"/>
      <c r="CH50" s="128"/>
      <c r="CI50" s="128"/>
      <c r="CJ50" s="128"/>
      <c r="CK50" s="128"/>
      <c r="CL50" s="128"/>
      <c r="CM50" s="128"/>
      <c r="CN50" s="128"/>
      <c r="CO50" s="128"/>
      <c r="CP50" s="128"/>
      <c r="CQ50" s="128"/>
      <c r="CR50" s="128"/>
      <c r="CS50" s="128"/>
      <c r="CT50" s="128"/>
      <c r="CU50" s="128"/>
      <c r="CV50" s="128"/>
      <c r="CW50" s="128"/>
      <c r="CX50" s="128"/>
      <c r="CY50" s="128"/>
      <c r="CZ50" s="128"/>
      <c r="DA50" s="128"/>
      <c r="DB50" s="128"/>
      <c r="DC50" s="128"/>
      <c r="DD50" s="128"/>
      <c r="DE50" s="128"/>
      <c r="DF50" s="128"/>
      <c r="DG50" s="128"/>
      <c r="DH50" s="128"/>
      <c r="DI50" s="128"/>
      <c r="DJ50" s="128"/>
      <c r="DK50" s="128"/>
      <c r="DL50" s="128"/>
      <c r="DM50" s="128"/>
      <c r="DN50" s="128"/>
      <c r="DO50" s="128"/>
      <c r="DP50" s="128"/>
      <c r="DQ50" s="128"/>
      <c r="DR50" s="128"/>
      <c r="DS50" s="128"/>
      <c r="DT50" s="128"/>
      <c r="DU50" s="128"/>
      <c r="DV50" s="128"/>
      <c r="DW50" s="128"/>
      <c r="DX50" s="128"/>
      <c r="DY50" s="128"/>
      <c r="DZ50" s="128"/>
      <c r="EA50" s="128"/>
      <c r="EB50" s="128"/>
      <c r="EC50" s="128"/>
      <c r="ED50" s="128"/>
      <c r="EE50" s="128"/>
      <c r="EF50" s="128"/>
      <c r="EG50" s="128"/>
      <c r="EH50" s="128"/>
      <c r="EI50" s="128"/>
      <c r="EJ50" s="128"/>
      <c r="EK50" s="128"/>
      <c r="EL50" s="128"/>
      <c r="EM50" s="128"/>
      <c r="EN50" s="128"/>
      <c r="EO50" s="128"/>
      <c r="EP50" s="128"/>
      <c r="EQ50" s="128"/>
      <c r="ER50" s="128"/>
      <c r="ES50" s="128"/>
      <c r="ET50" s="128"/>
      <c r="EU50" s="128"/>
      <c r="EV50" s="128"/>
      <c r="EW50" s="128"/>
      <c r="EX50" s="128"/>
      <c r="EY50" s="128"/>
      <c r="EZ50" s="128"/>
      <c r="FA50" s="128"/>
      <c r="FB50" s="128"/>
      <c r="FC50" s="128"/>
      <c r="FD50" s="128"/>
      <c r="FE50" s="128"/>
      <c r="FF50" s="128"/>
      <c r="FG50" s="128"/>
      <c r="FH50" s="128"/>
      <c r="FI50" s="128"/>
      <c r="FJ50" s="128"/>
      <c r="FK50" s="128"/>
      <c r="FL50" s="128"/>
      <c r="FM50" s="128"/>
      <c r="FN50" s="128"/>
      <c r="FO50" s="128"/>
      <c r="FP50" s="128"/>
      <c r="FQ50" s="128"/>
      <c r="FR50" s="128"/>
      <c r="FS50" s="128"/>
      <c r="FT50" s="128"/>
      <c r="FU50" s="128"/>
      <c r="FV50" s="128"/>
      <c r="FW50" s="128"/>
      <c r="FX50" s="128"/>
      <c r="FY50" s="128"/>
      <c r="FZ50" s="128"/>
      <c r="GA50" s="128"/>
      <c r="GB50" s="128"/>
      <c r="GC50" s="128"/>
      <c r="GD50" s="128"/>
      <c r="GE50" s="128"/>
      <c r="GF50" s="128"/>
      <c r="GG50" s="128"/>
      <c r="GH50" s="128"/>
      <c r="GI50" s="128"/>
      <c r="GJ50" s="128"/>
      <c r="GK50" s="128"/>
      <c r="GL50" s="128"/>
      <c r="GM50" s="128"/>
      <c r="GN50" s="128"/>
      <c r="GO50" s="128"/>
      <c r="GP50" s="128"/>
    </row>
    <row r="51" spans="1:198" ht="14.25">
      <c r="A51" s="19">
        <v>47</v>
      </c>
      <c r="B51" s="24">
        <v>126</v>
      </c>
      <c r="C51" s="109" t="s">
        <v>53</v>
      </c>
      <c r="D51" s="25"/>
      <c r="E51" s="25"/>
      <c r="F51" s="166"/>
      <c r="G51" s="25">
        <f t="shared" si="0"/>
        <v>0</v>
      </c>
      <c r="H51" s="25"/>
      <c r="I51" s="25"/>
      <c r="J51" s="166"/>
      <c r="K51" s="25">
        <f t="shared" si="1"/>
        <v>0</v>
      </c>
      <c r="L51" s="25"/>
      <c r="M51" s="25"/>
      <c r="N51" s="166"/>
      <c r="O51" s="25">
        <f t="shared" si="2"/>
        <v>0</v>
      </c>
      <c r="P51" s="25"/>
      <c r="Q51" s="25"/>
      <c r="R51" s="25"/>
      <c r="S51" s="25">
        <f t="shared" si="3"/>
        <v>0</v>
      </c>
      <c r="T51" s="25"/>
      <c r="U51" s="25"/>
      <c r="V51" s="166"/>
      <c r="W51" s="25">
        <f t="shared" si="4"/>
        <v>0</v>
      </c>
      <c r="X51" s="25"/>
      <c r="Y51" s="25"/>
      <c r="Z51" s="166"/>
      <c r="AA51" s="25">
        <f t="shared" si="5"/>
        <v>0</v>
      </c>
      <c r="AB51" s="25"/>
      <c r="AC51" s="25"/>
      <c r="AD51" s="166"/>
      <c r="AE51" s="25">
        <f t="shared" si="6"/>
        <v>0</v>
      </c>
      <c r="AF51" s="25"/>
      <c r="AG51" s="25"/>
      <c r="AH51" s="166"/>
      <c r="AI51" s="25">
        <f t="shared" si="7"/>
        <v>0</v>
      </c>
      <c r="AJ51" s="25"/>
      <c r="AK51" s="25"/>
      <c r="AL51" s="33"/>
      <c r="AM51" s="25"/>
      <c r="AN51" s="35"/>
      <c r="AO51" s="25"/>
      <c r="AP51" s="26"/>
      <c r="AQ51" s="25"/>
      <c r="AR51" s="25"/>
      <c r="AS51" s="25"/>
      <c r="AT51" s="26"/>
      <c r="AU51" s="25"/>
      <c r="AV51" s="25"/>
      <c r="AW51" s="25"/>
      <c r="AX51" s="33"/>
      <c r="AY51" s="25"/>
      <c r="AZ51" s="28"/>
      <c r="BA51" s="28"/>
      <c r="BB51" s="28"/>
      <c r="BC51" s="28"/>
      <c r="BD51" s="21">
        <f t="shared" si="10"/>
        <v>0</v>
      </c>
      <c r="BE51" s="22">
        <f t="shared" si="8"/>
        <v>1021000</v>
      </c>
      <c r="BF51" s="22">
        <f t="shared" si="9"/>
        <v>815000</v>
      </c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</row>
    <row r="52" spans="1:198" ht="15">
      <c r="A52" s="19">
        <v>48</v>
      </c>
      <c r="B52" s="24">
        <v>125</v>
      </c>
      <c r="C52" s="109" t="s">
        <v>54</v>
      </c>
      <c r="D52" s="25"/>
      <c r="E52" s="25"/>
      <c r="F52" s="166"/>
      <c r="G52" s="25">
        <f t="shared" si="0"/>
        <v>0</v>
      </c>
      <c r="H52" s="25"/>
      <c r="I52" s="25"/>
      <c r="J52" s="166"/>
      <c r="K52" s="25">
        <f t="shared" si="1"/>
        <v>0</v>
      </c>
      <c r="L52" s="25"/>
      <c r="M52" s="25"/>
      <c r="N52" s="166"/>
      <c r="O52" s="25">
        <f t="shared" si="2"/>
        <v>0</v>
      </c>
      <c r="P52" s="25"/>
      <c r="Q52" s="25"/>
      <c r="R52" s="25"/>
      <c r="S52" s="25">
        <f t="shared" si="3"/>
        <v>0</v>
      </c>
      <c r="T52" s="25"/>
      <c r="U52" s="25"/>
      <c r="V52" s="166"/>
      <c r="W52" s="25">
        <f t="shared" si="4"/>
        <v>0</v>
      </c>
      <c r="X52" s="25"/>
      <c r="Y52" s="25"/>
      <c r="Z52" s="166"/>
      <c r="AA52" s="25">
        <f t="shared" si="5"/>
        <v>0</v>
      </c>
      <c r="AB52" s="25"/>
      <c r="AC52" s="25"/>
      <c r="AD52" s="166"/>
      <c r="AE52" s="25">
        <f t="shared" si="6"/>
        <v>0</v>
      </c>
      <c r="AF52" s="25"/>
      <c r="AG52" s="25"/>
      <c r="AH52" s="166"/>
      <c r="AI52" s="25">
        <f t="shared" si="7"/>
        <v>0</v>
      </c>
      <c r="AJ52" s="25"/>
      <c r="AK52" s="25"/>
      <c r="AL52" s="33"/>
      <c r="AM52" s="25"/>
      <c r="AN52" s="43"/>
      <c r="AO52" s="25"/>
      <c r="AP52" s="26"/>
      <c r="AQ52" s="25"/>
      <c r="AR52" s="25"/>
      <c r="AS52" s="25"/>
      <c r="AT52" s="26"/>
      <c r="AU52" s="25"/>
      <c r="AV52" s="25"/>
      <c r="AW52" s="25"/>
      <c r="AX52" s="33"/>
      <c r="AY52" s="25"/>
      <c r="AZ52" s="28"/>
      <c r="BA52" s="28"/>
      <c r="BB52" s="28"/>
      <c r="BC52" s="28"/>
      <c r="BD52" s="21">
        <f t="shared" si="10"/>
        <v>0</v>
      </c>
      <c r="BE52" s="22">
        <f t="shared" si="8"/>
        <v>1021000</v>
      </c>
      <c r="BF52" s="22">
        <f t="shared" si="9"/>
        <v>815000</v>
      </c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</row>
    <row r="53" spans="1:198" s="139" customFormat="1">
      <c r="A53" s="19">
        <v>49</v>
      </c>
      <c r="B53" s="36">
        <v>239</v>
      </c>
      <c r="C53" s="135" t="s">
        <v>55</v>
      </c>
      <c r="D53" s="136">
        <f>98823.53+9882.35</f>
        <v>108705.88</v>
      </c>
      <c r="E53" s="136">
        <v>26514.53</v>
      </c>
      <c r="F53" s="169">
        <f>96/136</f>
        <v>0.70588235294117652</v>
      </c>
      <c r="G53" s="25">
        <f t="shared" si="0"/>
        <v>40566.123</v>
      </c>
      <c r="H53" s="136">
        <f>70463.58+7046.36</f>
        <v>77509.94</v>
      </c>
      <c r="I53" s="136"/>
      <c r="J53" s="169">
        <f>76/151</f>
        <v>0.50331125827814571</v>
      </c>
      <c r="K53" s="25">
        <f t="shared" si="1"/>
        <v>23252.982</v>
      </c>
      <c r="L53" s="136">
        <f>70440.25+7044.03</f>
        <v>77484.28</v>
      </c>
      <c r="M53" s="136"/>
      <c r="N53" s="166">
        <f>80/159</f>
        <v>0.50314465408805031</v>
      </c>
      <c r="O53" s="25">
        <f t="shared" si="2"/>
        <v>23245.284</v>
      </c>
      <c r="P53" s="25">
        <f>154000*R53</f>
        <v>77461.077844311367</v>
      </c>
      <c r="Q53" s="136"/>
      <c r="R53" s="166">
        <f>84/167</f>
        <v>0.50299401197604787</v>
      </c>
      <c r="S53" s="25">
        <f t="shared" si="3"/>
        <v>23238.32335329341</v>
      </c>
      <c r="T53" s="25">
        <f>154000*V53</f>
        <v>77484.276729559744</v>
      </c>
      <c r="U53" s="136"/>
      <c r="V53" s="166">
        <f>80/159</f>
        <v>0.50314465408805031</v>
      </c>
      <c r="W53" s="25">
        <f t="shared" si="4"/>
        <v>23245.283018867922</v>
      </c>
      <c r="X53" s="25">
        <f>154000*Z53</f>
        <v>77484.276729559744</v>
      </c>
      <c r="Y53" s="136"/>
      <c r="Z53" s="166">
        <f>80/159</f>
        <v>0.50314465408805031</v>
      </c>
      <c r="AA53" s="25">
        <f t="shared" si="5"/>
        <v>23245.283018867922</v>
      </c>
      <c r="AB53" s="25">
        <f>154000*AD53</f>
        <v>77000</v>
      </c>
      <c r="AC53" s="136"/>
      <c r="AD53" s="166">
        <f>88/176</f>
        <v>0.5</v>
      </c>
      <c r="AE53" s="25">
        <f t="shared" si="6"/>
        <v>23100</v>
      </c>
      <c r="AF53" s="25">
        <f>154000*AH53</f>
        <v>77000</v>
      </c>
      <c r="AG53" s="136"/>
      <c r="AH53" s="166">
        <f>92/184</f>
        <v>0.5</v>
      </c>
      <c r="AI53" s="25">
        <f t="shared" si="7"/>
        <v>23100</v>
      </c>
      <c r="AJ53" s="136"/>
      <c r="AK53" s="136"/>
      <c r="AL53" s="38"/>
      <c r="AM53" s="136"/>
      <c r="AN53" s="136"/>
      <c r="AO53" s="136"/>
      <c r="AP53" s="38"/>
      <c r="AQ53" s="136"/>
      <c r="AR53" s="136"/>
      <c r="AS53" s="136"/>
      <c r="AT53" s="38"/>
      <c r="AU53" s="136"/>
      <c r="AV53" s="136"/>
      <c r="AW53" s="136"/>
      <c r="AX53" s="38"/>
      <c r="AY53" s="136"/>
      <c r="AZ53" s="137"/>
      <c r="BA53" s="137"/>
      <c r="BB53" s="137"/>
      <c r="BC53" s="137"/>
      <c r="BD53" s="137">
        <f t="shared" si="10"/>
        <v>676644.26130343089</v>
      </c>
      <c r="BE53" s="138">
        <f t="shared" si="8"/>
        <v>344355.73869656911</v>
      </c>
      <c r="BF53" s="138">
        <f t="shared" si="9"/>
        <v>138355.73869656911</v>
      </c>
      <c r="BG53" s="37"/>
      <c r="BH53" s="37"/>
      <c r="BI53" s="37"/>
      <c r="BJ53" s="37"/>
      <c r="BK53" s="37"/>
      <c r="BL53" s="37"/>
      <c r="BM53" s="37"/>
      <c r="BN53" s="37"/>
      <c r="BO53" s="37"/>
      <c r="BP53" s="37"/>
      <c r="BQ53" s="37"/>
      <c r="BR53" s="37"/>
      <c r="BS53" s="37"/>
      <c r="BT53" s="37"/>
      <c r="BU53" s="37"/>
      <c r="BV53" s="37"/>
      <c r="BW53" s="37"/>
      <c r="BX53" s="37"/>
      <c r="BY53" s="37"/>
      <c r="BZ53" s="37"/>
      <c r="CA53" s="37"/>
      <c r="CB53" s="37"/>
      <c r="CC53" s="37"/>
      <c r="CD53" s="37"/>
      <c r="CE53" s="37"/>
      <c r="CF53" s="37"/>
      <c r="CG53" s="37"/>
      <c r="CH53" s="37"/>
      <c r="CI53" s="37"/>
      <c r="CJ53" s="37"/>
      <c r="CK53" s="37"/>
      <c r="CL53" s="37"/>
      <c r="CM53" s="37"/>
      <c r="CN53" s="37"/>
      <c r="CO53" s="37"/>
      <c r="CP53" s="37"/>
      <c r="CQ53" s="37"/>
      <c r="CR53" s="37"/>
      <c r="CS53" s="37"/>
      <c r="CT53" s="37"/>
      <c r="CU53" s="37"/>
      <c r="CV53" s="37"/>
      <c r="CW53" s="37"/>
      <c r="CX53" s="37"/>
      <c r="CY53" s="37"/>
      <c r="CZ53" s="37"/>
      <c r="DA53" s="37"/>
      <c r="DB53" s="37"/>
      <c r="DC53" s="37"/>
      <c r="DD53" s="37"/>
      <c r="DE53" s="37"/>
      <c r="DF53" s="37"/>
      <c r="DG53" s="37"/>
      <c r="DH53" s="37"/>
      <c r="DI53" s="37"/>
      <c r="DJ53" s="37"/>
      <c r="DK53" s="37"/>
      <c r="DL53" s="37"/>
      <c r="DM53" s="37"/>
      <c r="DN53" s="37"/>
      <c r="DO53" s="37"/>
      <c r="DP53" s="37"/>
      <c r="DQ53" s="37"/>
      <c r="DR53" s="37"/>
      <c r="DS53" s="37"/>
      <c r="DT53" s="37"/>
      <c r="DU53" s="37"/>
      <c r="DV53" s="37"/>
      <c r="DW53" s="37"/>
      <c r="DX53" s="37"/>
      <c r="DY53" s="37"/>
      <c r="DZ53" s="37"/>
      <c r="EA53" s="37"/>
      <c r="EB53" s="37"/>
      <c r="EC53" s="37"/>
      <c r="ED53" s="37"/>
      <c r="EE53" s="37"/>
      <c r="EF53" s="37"/>
      <c r="EG53" s="37"/>
      <c r="EH53" s="37"/>
      <c r="EI53" s="37"/>
      <c r="EJ53" s="37"/>
      <c r="EK53" s="37"/>
      <c r="EL53" s="37"/>
      <c r="EM53" s="37"/>
      <c r="EN53" s="37"/>
      <c r="EO53" s="37"/>
      <c r="EP53" s="37"/>
      <c r="EQ53" s="37"/>
      <c r="ER53" s="37"/>
      <c r="ES53" s="37"/>
      <c r="ET53" s="37"/>
      <c r="EU53" s="37"/>
      <c r="EV53" s="37"/>
      <c r="EW53" s="37"/>
      <c r="EX53" s="37"/>
      <c r="EY53" s="37"/>
      <c r="EZ53" s="37"/>
      <c r="FA53" s="37"/>
      <c r="FB53" s="37"/>
      <c r="FC53" s="37"/>
      <c r="FD53" s="37"/>
      <c r="FE53" s="37"/>
      <c r="FF53" s="37"/>
      <c r="FG53" s="37"/>
      <c r="FH53" s="37"/>
      <c r="FI53" s="37"/>
      <c r="FJ53" s="37"/>
      <c r="FK53" s="37"/>
      <c r="FL53" s="37"/>
      <c r="FM53" s="37"/>
      <c r="FN53" s="37"/>
      <c r="FO53" s="37"/>
      <c r="FP53" s="37"/>
      <c r="FQ53" s="37"/>
      <c r="FR53" s="37"/>
      <c r="FS53" s="37"/>
      <c r="FT53" s="37"/>
      <c r="FU53" s="37"/>
      <c r="FV53" s="37"/>
      <c r="FW53" s="37"/>
      <c r="FX53" s="37"/>
      <c r="FY53" s="37"/>
      <c r="FZ53" s="37"/>
      <c r="GA53" s="37"/>
      <c r="GB53" s="37"/>
      <c r="GC53" s="37"/>
      <c r="GD53" s="37"/>
      <c r="GE53" s="37"/>
      <c r="GF53" s="37"/>
      <c r="GG53" s="37"/>
      <c r="GH53" s="37"/>
      <c r="GI53" s="37"/>
      <c r="GJ53" s="37"/>
      <c r="GK53" s="37"/>
      <c r="GL53" s="37"/>
      <c r="GM53" s="37"/>
      <c r="GN53" s="37"/>
      <c r="GO53" s="37"/>
      <c r="GP53" s="37"/>
    </row>
    <row r="54" spans="1:198" s="129" customFormat="1">
      <c r="A54" s="19">
        <v>50</v>
      </c>
      <c r="B54" s="121">
        <v>227</v>
      </c>
      <c r="C54" s="122" t="s">
        <v>76</v>
      </c>
      <c r="D54" s="123">
        <f>2647.06+264.71</f>
        <v>2911.77</v>
      </c>
      <c r="E54" s="123">
        <v>800.24</v>
      </c>
      <c r="F54" s="143">
        <f>12/136</f>
        <v>8.8235294117647065E-2</v>
      </c>
      <c r="G54" s="25">
        <f t="shared" si="0"/>
        <v>1113.6030000000001</v>
      </c>
      <c r="H54" s="123">
        <f>3178.81+317.88</f>
        <v>3496.69</v>
      </c>
      <c r="I54" s="123"/>
      <c r="J54" s="143">
        <f>16/151</f>
        <v>0.10596026490066225</v>
      </c>
      <c r="K54" s="25">
        <f t="shared" si="1"/>
        <v>1049.0070000000001</v>
      </c>
      <c r="L54" s="123">
        <f>3018.87+301.89</f>
        <v>3320.7599999999998</v>
      </c>
      <c r="M54" s="123"/>
      <c r="N54" s="143">
        <f>16/159</f>
        <v>0.10062893081761007</v>
      </c>
      <c r="O54" s="25">
        <f t="shared" si="2"/>
        <v>996.22799999999984</v>
      </c>
      <c r="P54" s="123">
        <f>33000*R54</f>
        <v>3161.6766467065872</v>
      </c>
      <c r="Q54" s="123"/>
      <c r="R54" s="143">
        <f>16/167</f>
        <v>9.580838323353294E-2</v>
      </c>
      <c r="S54" s="25">
        <f t="shared" si="3"/>
        <v>948.50299401197617</v>
      </c>
      <c r="T54" s="123">
        <f>33000*V54</f>
        <v>4150.9433962264147</v>
      </c>
      <c r="U54" s="123"/>
      <c r="V54" s="143">
        <f>20/159</f>
        <v>0.12578616352201258</v>
      </c>
      <c r="W54" s="25">
        <f t="shared" si="4"/>
        <v>1245.2830188679243</v>
      </c>
      <c r="X54" s="123">
        <f>33000*Z54</f>
        <v>3320.7547169811323</v>
      </c>
      <c r="Y54" s="123"/>
      <c r="Z54" s="143">
        <f>16/159</f>
        <v>0.10062893081761007</v>
      </c>
      <c r="AA54" s="25">
        <f t="shared" si="5"/>
        <v>996.2264150943397</v>
      </c>
      <c r="AB54" s="123">
        <f>33000*AD54</f>
        <v>3000</v>
      </c>
      <c r="AC54" s="123"/>
      <c r="AD54" s="143">
        <f>16/176</f>
        <v>9.0909090909090912E-2</v>
      </c>
      <c r="AE54" s="25">
        <f t="shared" si="6"/>
        <v>900</v>
      </c>
      <c r="AF54" s="123">
        <f>33000*AH54</f>
        <v>3586.9565217391305</v>
      </c>
      <c r="AG54" s="123"/>
      <c r="AH54" s="143">
        <f>20/184</f>
        <v>0.10869565217391304</v>
      </c>
      <c r="AI54" s="25">
        <f t="shared" si="7"/>
        <v>1076.086956521739</v>
      </c>
      <c r="AJ54" s="123"/>
      <c r="AK54" s="123"/>
      <c r="AL54" s="124"/>
      <c r="AM54" s="123"/>
      <c r="AN54" s="123"/>
      <c r="AO54" s="123"/>
      <c r="AP54" s="125"/>
      <c r="AQ54" s="123"/>
      <c r="AR54" s="123"/>
      <c r="AS54" s="123"/>
      <c r="AT54" s="125"/>
      <c r="AU54" s="123"/>
      <c r="AV54" s="123"/>
      <c r="AW54" s="123"/>
      <c r="AX54" s="125"/>
      <c r="AY54" s="123"/>
      <c r="AZ54" s="126"/>
      <c r="BA54" s="126"/>
      <c r="BB54" s="126"/>
      <c r="BC54" s="126"/>
      <c r="BD54" s="126">
        <f t="shared" si="10"/>
        <v>27749.79128165327</v>
      </c>
      <c r="BE54" s="127">
        <f t="shared" si="8"/>
        <v>993250.20871834678</v>
      </c>
      <c r="BF54" s="127">
        <f t="shared" si="9"/>
        <v>787250.20871834678</v>
      </c>
      <c r="BG54" s="128"/>
      <c r="BH54" s="128"/>
      <c r="BI54" s="128"/>
      <c r="BJ54" s="128"/>
      <c r="BK54" s="128"/>
      <c r="BL54" s="128"/>
      <c r="BM54" s="128"/>
      <c r="BN54" s="128"/>
      <c r="BO54" s="128"/>
      <c r="BP54" s="128"/>
      <c r="BQ54" s="128"/>
      <c r="BR54" s="128"/>
      <c r="BS54" s="128"/>
      <c r="BT54" s="128"/>
      <c r="BU54" s="128"/>
      <c r="BV54" s="128"/>
      <c r="BW54" s="128"/>
      <c r="BX54" s="128"/>
      <c r="BY54" s="128"/>
      <c r="BZ54" s="128"/>
      <c r="CA54" s="128"/>
      <c r="CB54" s="128"/>
      <c r="CC54" s="128"/>
      <c r="CD54" s="128"/>
      <c r="CE54" s="128"/>
      <c r="CF54" s="128"/>
      <c r="CG54" s="128"/>
      <c r="CH54" s="128"/>
      <c r="CI54" s="128"/>
      <c r="CJ54" s="128"/>
      <c r="CK54" s="128"/>
      <c r="CL54" s="128"/>
      <c r="CM54" s="128"/>
      <c r="CN54" s="128"/>
      <c r="CO54" s="128"/>
      <c r="CP54" s="128"/>
      <c r="CQ54" s="128"/>
      <c r="CR54" s="128"/>
      <c r="CS54" s="128"/>
      <c r="CT54" s="128"/>
      <c r="CU54" s="128"/>
      <c r="CV54" s="128"/>
      <c r="CW54" s="128"/>
      <c r="CX54" s="128"/>
      <c r="CY54" s="128"/>
      <c r="CZ54" s="128"/>
      <c r="DA54" s="128"/>
      <c r="DB54" s="128"/>
      <c r="DC54" s="128"/>
      <c r="DD54" s="128"/>
      <c r="DE54" s="128"/>
      <c r="DF54" s="128"/>
      <c r="DG54" s="128"/>
      <c r="DH54" s="128"/>
      <c r="DI54" s="128"/>
      <c r="DJ54" s="128"/>
      <c r="DK54" s="128"/>
      <c r="DL54" s="128"/>
      <c r="DM54" s="128"/>
      <c r="DN54" s="128"/>
      <c r="DO54" s="128"/>
      <c r="DP54" s="128"/>
      <c r="DQ54" s="128"/>
      <c r="DR54" s="128"/>
      <c r="DS54" s="128"/>
      <c r="DT54" s="128"/>
      <c r="DU54" s="128"/>
      <c r="DV54" s="128"/>
      <c r="DW54" s="128"/>
      <c r="DX54" s="128"/>
      <c r="DY54" s="128"/>
      <c r="DZ54" s="128"/>
      <c r="EA54" s="128"/>
      <c r="EB54" s="128"/>
      <c r="EC54" s="128"/>
      <c r="ED54" s="128"/>
      <c r="EE54" s="128"/>
      <c r="EF54" s="128"/>
      <c r="EG54" s="128"/>
      <c r="EH54" s="128"/>
      <c r="EI54" s="128"/>
      <c r="EJ54" s="128"/>
      <c r="EK54" s="128"/>
      <c r="EL54" s="128"/>
      <c r="EM54" s="128"/>
      <c r="EN54" s="128"/>
      <c r="EO54" s="128"/>
      <c r="EP54" s="128"/>
      <c r="EQ54" s="128"/>
      <c r="ER54" s="128"/>
      <c r="ES54" s="128"/>
      <c r="ET54" s="128"/>
      <c r="EU54" s="128"/>
      <c r="EV54" s="128"/>
      <c r="EW54" s="128"/>
      <c r="EX54" s="128"/>
      <c r="EY54" s="128"/>
      <c r="EZ54" s="128"/>
      <c r="FA54" s="128"/>
      <c r="FB54" s="128"/>
      <c r="FC54" s="128"/>
      <c r="FD54" s="128"/>
      <c r="FE54" s="128"/>
      <c r="FF54" s="128"/>
      <c r="FG54" s="128"/>
      <c r="FH54" s="128"/>
      <c r="FI54" s="128"/>
      <c r="FJ54" s="128"/>
      <c r="FK54" s="128"/>
      <c r="FL54" s="128"/>
      <c r="FM54" s="128"/>
      <c r="FN54" s="128"/>
      <c r="FO54" s="128"/>
      <c r="FP54" s="128"/>
      <c r="FQ54" s="128"/>
      <c r="FR54" s="128"/>
      <c r="FS54" s="128"/>
      <c r="FT54" s="128"/>
      <c r="FU54" s="128"/>
      <c r="FV54" s="128"/>
      <c r="FW54" s="128"/>
      <c r="FX54" s="128"/>
      <c r="FY54" s="128"/>
      <c r="FZ54" s="128"/>
      <c r="GA54" s="128"/>
      <c r="GB54" s="128"/>
      <c r="GC54" s="128"/>
      <c r="GD54" s="128"/>
      <c r="GE54" s="128"/>
      <c r="GF54" s="128"/>
      <c r="GG54" s="128"/>
      <c r="GH54" s="128"/>
      <c r="GI54" s="128"/>
      <c r="GJ54" s="128"/>
      <c r="GK54" s="128"/>
      <c r="GL54" s="128"/>
      <c r="GM54" s="128"/>
      <c r="GN54" s="128"/>
      <c r="GO54" s="128"/>
      <c r="GP54" s="128"/>
    </row>
    <row r="55" spans="1:198">
      <c r="A55" s="19">
        <v>51</v>
      </c>
      <c r="B55" s="24">
        <v>228</v>
      </c>
      <c r="C55" s="109" t="s">
        <v>56</v>
      </c>
      <c r="D55" s="25"/>
      <c r="E55" s="25"/>
      <c r="F55" s="166"/>
      <c r="G55" s="25">
        <f t="shared" si="0"/>
        <v>0</v>
      </c>
      <c r="H55" s="25"/>
      <c r="I55" s="25"/>
      <c r="J55" s="166"/>
      <c r="K55" s="25">
        <f t="shared" si="1"/>
        <v>0</v>
      </c>
      <c r="L55" s="25"/>
      <c r="M55" s="25"/>
      <c r="N55" s="166"/>
      <c r="O55" s="25">
        <f t="shared" si="2"/>
        <v>0</v>
      </c>
      <c r="P55" s="25"/>
      <c r="Q55" s="25"/>
      <c r="R55" s="25"/>
      <c r="S55" s="25">
        <f t="shared" si="3"/>
        <v>0</v>
      </c>
      <c r="T55" s="25"/>
      <c r="U55" s="25"/>
      <c r="V55" s="166"/>
      <c r="W55" s="25">
        <f t="shared" si="4"/>
        <v>0</v>
      </c>
      <c r="X55" s="25"/>
      <c r="Y55" s="25"/>
      <c r="Z55" s="166"/>
      <c r="AA55" s="25">
        <f t="shared" si="5"/>
        <v>0</v>
      </c>
      <c r="AB55" s="25"/>
      <c r="AC55" s="25"/>
      <c r="AD55" s="166"/>
      <c r="AE55" s="25">
        <f t="shared" si="6"/>
        <v>0</v>
      </c>
      <c r="AF55" s="25"/>
      <c r="AG55" s="25"/>
      <c r="AH55" s="166"/>
      <c r="AI55" s="25">
        <f t="shared" si="7"/>
        <v>0</v>
      </c>
      <c r="AJ55" s="25"/>
      <c r="AK55" s="25"/>
      <c r="AL55" s="25"/>
      <c r="AM55" s="25"/>
      <c r="AN55" s="25"/>
      <c r="AO55" s="25"/>
      <c r="AP55" s="26"/>
      <c r="AQ55" s="25"/>
      <c r="AR55" s="25"/>
      <c r="AS55" s="25"/>
      <c r="AT55" s="26"/>
      <c r="AU55" s="25"/>
      <c r="AV55" s="25"/>
      <c r="AW55" s="25"/>
      <c r="AX55" s="25"/>
      <c r="AY55" s="25"/>
      <c r="AZ55" s="28"/>
      <c r="BA55" s="28" t="s">
        <v>57</v>
      </c>
      <c r="BB55" s="28" t="s">
        <v>7</v>
      </c>
      <c r="BC55" s="28"/>
      <c r="BD55" s="21">
        <f t="shared" si="10"/>
        <v>0</v>
      </c>
      <c r="BE55" s="22">
        <f t="shared" si="8"/>
        <v>1021000</v>
      </c>
      <c r="BF55" s="22">
        <f t="shared" si="9"/>
        <v>815000</v>
      </c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  <c r="GN55" s="23"/>
      <c r="GO55" s="23"/>
      <c r="GP55" s="23"/>
    </row>
    <row r="56" spans="1:198">
      <c r="A56" s="44"/>
      <c r="B56" s="107"/>
      <c r="C56" s="45" t="s">
        <v>58</v>
      </c>
      <c r="D56" s="46">
        <f>SUM(D5:D55)</f>
        <v>823735.29999999993</v>
      </c>
      <c r="E56" s="46">
        <f t="shared" ref="E56:G56" si="11">SUM(E5:E55)</f>
        <v>56803.249999999993</v>
      </c>
      <c r="F56" s="47">
        <f t="shared" si="11"/>
        <v>7.617647058823529</v>
      </c>
      <c r="G56" s="46">
        <f t="shared" si="11"/>
        <v>264161.565</v>
      </c>
      <c r="H56" s="46">
        <f>SUM(H5:H55)</f>
        <v>368251.65</v>
      </c>
      <c r="I56" s="46">
        <f t="shared" ref="I56" si="12">SUM(I5:I55)</f>
        <v>36534.74</v>
      </c>
      <c r="J56" s="47">
        <f t="shared" ref="J56" si="13">SUM(J5:J55)</f>
        <v>3.4437086092715239</v>
      </c>
      <c r="K56" s="46">
        <f t="shared" ref="K56" si="14">SUM(K5:K55)</f>
        <v>121435.917</v>
      </c>
      <c r="L56" s="46">
        <f>SUM(L5:L55)</f>
        <v>355358.51</v>
      </c>
      <c r="M56" s="46">
        <f t="shared" ref="M56" si="15">SUM(M5:M55)</f>
        <v>0</v>
      </c>
      <c r="N56" s="47">
        <f t="shared" ref="N56" si="16">SUM(N5:N55)</f>
        <v>3.3207547169811318</v>
      </c>
      <c r="O56" s="46">
        <f t="shared" ref="O56" si="17">SUM(O5:O55)</f>
        <v>106607.55300000001</v>
      </c>
      <c r="P56" s="46">
        <f>SUM(P5:P55)</f>
        <v>343700.59880239522</v>
      </c>
      <c r="Q56" s="46">
        <f t="shared" ref="Q56" si="18">SUM(Q5:Q55)</f>
        <v>0</v>
      </c>
      <c r="R56" s="47">
        <f t="shared" ref="R56" si="19">SUM(R5:R55)</f>
        <v>3.2095808383233533</v>
      </c>
      <c r="S56" s="46">
        <f t="shared" ref="S56" si="20">SUM(S5:S55)</f>
        <v>103110.17964071856</v>
      </c>
      <c r="T56" s="46">
        <f>SUM(T5:T55)</f>
        <v>386805.0314465409</v>
      </c>
      <c r="U56" s="46">
        <f t="shared" ref="U56" si="21">SUM(U5:U55)</f>
        <v>0</v>
      </c>
      <c r="V56" s="47">
        <f t="shared" ref="V56" si="22">SUM(V5:V55)</f>
        <v>3.6477987421383644</v>
      </c>
      <c r="W56" s="46">
        <f t="shared" ref="W56" si="23">SUM(W5:W55)</f>
        <v>116041.50943396226</v>
      </c>
      <c r="X56" s="46">
        <f>SUM(X5:X55)</f>
        <v>326125.78616352199</v>
      </c>
      <c r="Y56" s="46">
        <f t="shared" ref="Y56" si="24">SUM(Y5:Y55)</f>
        <v>0</v>
      </c>
      <c r="Z56" s="47">
        <f t="shared" ref="Z56" si="25">SUM(Z5:Z55)</f>
        <v>3.0691823899371067</v>
      </c>
      <c r="AA56" s="46">
        <f t="shared" ref="AA56" si="26">SUM(AA5:AA55)</f>
        <v>97837.735849056582</v>
      </c>
      <c r="AB56" s="46">
        <f>SUM(AB5:AB55)</f>
        <v>357681.81818181818</v>
      </c>
      <c r="AC56" s="46">
        <f t="shared" ref="AC56" si="27">SUM(AC5:AC55)</f>
        <v>0</v>
      </c>
      <c r="AD56" s="47">
        <f t="shared" ref="AD56" si="28">SUM(AD5:AD55)</f>
        <v>3.3181818181818183</v>
      </c>
      <c r="AE56" s="46">
        <f t="shared" ref="AE56" si="29">SUM(AE5:AE55)</f>
        <v>107304.54545454546</v>
      </c>
      <c r="AF56" s="46">
        <f>SUM(AF5:AF55)</f>
        <v>348913.04347826092</v>
      </c>
      <c r="AG56" s="46">
        <f t="shared" ref="AG56" si="30">SUM(AG5:AG55)</f>
        <v>0</v>
      </c>
      <c r="AH56" s="47">
        <f t="shared" ref="AH56" si="31">SUM(AH5:AH55)</f>
        <v>3.2826086956521738</v>
      </c>
      <c r="AI56" s="46">
        <f t="shared" ref="AI56" si="32">SUM(AI5:AI55)</f>
        <v>104673.91304347827</v>
      </c>
      <c r="AJ56" s="46">
        <f>SUM(AJ5:AJ55)</f>
        <v>0</v>
      </c>
      <c r="AK56" s="46">
        <f t="shared" ref="AK56" si="33">SUM(AK5:AK55)</f>
        <v>0</v>
      </c>
      <c r="AL56" s="47">
        <f t="shared" ref="AL56" si="34">SUM(AL5:AL55)</f>
        <v>0</v>
      </c>
      <c r="AM56" s="46">
        <f t="shared" ref="AM56" si="35">SUM(AM5:AM55)</f>
        <v>0</v>
      </c>
      <c r="AN56" s="46">
        <f>SUM(AN5:AN55)</f>
        <v>0</v>
      </c>
      <c r="AO56" s="46">
        <f t="shared" ref="AO56" si="36">SUM(AO5:AO55)</f>
        <v>0</v>
      </c>
      <c r="AP56" s="47">
        <f t="shared" ref="AP56" si="37">SUM(AP5:AP55)</f>
        <v>0</v>
      </c>
      <c r="AQ56" s="46">
        <f t="shared" ref="AQ56" si="38">SUM(AQ5:AQ55)</f>
        <v>0</v>
      </c>
      <c r="AR56" s="46">
        <f>SUM(AR5:AR55)</f>
        <v>0</v>
      </c>
      <c r="AS56" s="46">
        <f t="shared" ref="AS56" si="39">SUM(AS5:AS55)</f>
        <v>0</v>
      </c>
      <c r="AT56" s="47">
        <f t="shared" ref="AT56" si="40">SUM(AT5:AT55)</f>
        <v>0</v>
      </c>
      <c r="AU56" s="46">
        <f t="shared" ref="AU56" si="41">SUM(AU5:AU55)</f>
        <v>0</v>
      </c>
      <c r="AV56" s="46">
        <f>SUM(AV5:AV55)</f>
        <v>0</v>
      </c>
      <c r="AW56" s="46">
        <f t="shared" ref="AW56" si="42">SUM(AW5:AW55)</f>
        <v>0</v>
      </c>
      <c r="AX56" s="47">
        <f t="shared" ref="AX56" si="43">SUM(AX5:AX55)</f>
        <v>0</v>
      </c>
      <c r="AY56" s="46">
        <f t="shared" ref="AY56" si="44">SUM(AY5:AY55)</f>
        <v>0</v>
      </c>
      <c r="AZ56" s="45" t="s">
        <v>58</v>
      </c>
      <c r="BA56" s="48">
        <f>AV56+D56+E56+H56+I56+L56+M56+P56+Q56+T56+U56+X56+Y56+AB56+AC56+AF56+AG56+AJ56+AK56+AN56+AO56+AR56+AS56+AW56</f>
        <v>3403909.7280725371</v>
      </c>
      <c r="BB56" s="48">
        <f>SUM(BB57:BB59)</f>
        <v>1027980.7378779063</v>
      </c>
      <c r="BC56" s="48"/>
      <c r="BD56" s="49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  <c r="GD56" s="50"/>
      <c r="GE56" s="50"/>
      <c r="GF56" s="50"/>
      <c r="GG56" s="50"/>
      <c r="GH56" s="50"/>
      <c r="GI56" s="50"/>
      <c r="GJ56" s="50"/>
      <c r="GK56" s="50"/>
      <c r="GL56" s="50"/>
      <c r="GM56" s="50"/>
      <c r="GN56" s="50"/>
      <c r="GO56" s="50"/>
      <c r="GP56" s="50"/>
    </row>
    <row r="57" spans="1:198">
      <c r="A57" s="51"/>
      <c r="B57" s="108"/>
      <c r="C57" s="52" t="s">
        <v>59</v>
      </c>
      <c r="D57" s="30">
        <f>D7+D15+D18+D20+D33</f>
        <v>140941.18</v>
      </c>
      <c r="E57" s="30">
        <f t="shared" ref="E57:G57" si="45">E7+E15+E18+E20+E33</f>
        <v>0</v>
      </c>
      <c r="F57" s="53">
        <f t="shared" si="45"/>
        <v>1.0294117647058822</v>
      </c>
      <c r="G57" s="30">
        <f t="shared" si="45"/>
        <v>42282.353999999999</v>
      </c>
      <c r="H57" s="30">
        <f>H7+H15+H18+H20+H33</f>
        <v>144781.44999999998</v>
      </c>
      <c r="I57" s="30">
        <f t="shared" ref="I57:K57" si="46">I7+I15+I18+I20+I33</f>
        <v>0</v>
      </c>
      <c r="J57" s="53">
        <f t="shared" si="46"/>
        <v>1.0596026490066226</v>
      </c>
      <c r="K57" s="30">
        <f t="shared" si="46"/>
        <v>43434.434999999998</v>
      </c>
      <c r="L57" s="30">
        <f>L7+L15+L18+L20+L33</f>
        <v>138000</v>
      </c>
      <c r="M57" s="30">
        <f t="shared" ref="M57:O57" si="47">M7+M15+M18+M20+M33</f>
        <v>0</v>
      </c>
      <c r="N57" s="53">
        <f t="shared" si="47"/>
        <v>1.0062893081761006</v>
      </c>
      <c r="O57" s="30">
        <f t="shared" si="47"/>
        <v>41400</v>
      </c>
      <c r="P57" s="30">
        <f>P7+P15+P18+P20+P33</f>
        <v>131868.2634730539</v>
      </c>
      <c r="Q57" s="30">
        <f t="shared" ref="Q57:S57" si="48">Q7+Q15+Q18+Q20+Q33</f>
        <v>0</v>
      </c>
      <c r="R57" s="53">
        <f t="shared" si="48"/>
        <v>0.95808383233532934</v>
      </c>
      <c r="S57" s="30">
        <f t="shared" si="48"/>
        <v>39560.479041916173</v>
      </c>
      <c r="T57" s="30">
        <f>T7+T15+T18+T20+T33</f>
        <v>154000.00000000003</v>
      </c>
      <c r="U57" s="30">
        <f t="shared" ref="U57:W57" si="49">U7+U15+U18+U20+U33</f>
        <v>0</v>
      </c>
      <c r="V57" s="53">
        <f t="shared" si="49"/>
        <v>1.1320754716981132</v>
      </c>
      <c r="W57" s="30">
        <f t="shared" si="49"/>
        <v>46200</v>
      </c>
      <c r="X57" s="30">
        <f>X7+X15+X18+X20+X33</f>
        <v>121999.99999999999</v>
      </c>
      <c r="Y57" s="30">
        <f t="shared" ref="Y57:AA57" si="50">Y7+Y15+Y18+Y20+Y33</f>
        <v>0</v>
      </c>
      <c r="Z57" s="53">
        <f t="shared" si="50"/>
        <v>0.88050314465408797</v>
      </c>
      <c r="AA57" s="30">
        <f t="shared" si="50"/>
        <v>36599.999999999993</v>
      </c>
      <c r="AB57" s="30">
        <f>AB7+AB15+AB18+AB20+AB33</f>
        <v>140090.90909090909</v>
      </c>
      <c r="AC57" s="30">
        <f t="shared" ref="AC57:AE57" si="51">AC7+AC15+AC18+AC20+AC33</f>
        <v>0</v>
      </c>
      <c r="AD57" s="53">
        <f t="shared" si="51"/>
        <v>1.0227272727272727</v>
      </c>
      <c r="AE57" s="30">
        <f t="shared" si="51"/>
        <v>42027.272727272728</v>
      </c>
      <c r="AF57" s="30">
        <f>AF7+AF15+AF18+AF20+AF33</f>
        <v>134434.78260869568</v>
      </c>
      <c r="AG57" s="30">
        <f t="shared" ref="AG57:AI57" si="52">AG7+AG15+AG18+AG20+AG33</f>
        <v>0</v>
      </c>
      <c r="AH57" s="53">
        <f t="shared" si="52"/>
        <v>0.97826086956521741</v>
      </c>
      <c r="AI57" s="30">
        <f t="shared" si="52"/>
        <v>40330.434782608696</v>
      </c>
      <c r="AJ57" s="30">
        <f>AJ7+AJ15+AJ18+AJ20+AJ33</f>
        <v>0</v>
      </c>
      <c r="AK57" s="30">
        <f t="shared" ref="AK57:AM57" si="53">AK7+AK15+AK18+AK20+AK33</f>
        <v>0</v>
      </c>
      <c r="AL57" s="53">
        <f t="shared" si="53"/>
        <v>0</v>
      </c>
      <c r="AM57" s="30">
        <f t="shared" si="53"/>
        <v>0</v>
      </c>
      <c r="AN57" s="30">
        <f>AN7+AN15+AN18+AN20+AN33</f>
        <v>0</v>
      </c>
      <c r="AO57" s="30">
        <f t="shared" ref="AO57:AQ57" si="54">AO7+AO15+AO18+AO20+AO33</f>
        <v>0</v>
      </c>
      <c r="AP57" s="53">
        <f t="shared" si="54"/>
        <v>0</v>
      </c>
      <c r="AQ57" s="30">
        <f t="shared" si="54"/>
        <v>0</v>
      </c>
      <c r="AR57" s="30">
        <f>AR7+AR15+AR18+AR20+AR33</f>
        <v>0</v>
      </c>
      <c r="AS57" s="30">
        <f t="shared" ref="AS57:AU57" si="55">AS7+AS15+AS18+AS20+AS33</f>
        <v>0</v>
      </c>
      <c r="AT57" s="53">
        <f t="shared" si="55"/>
        <v>0</v>
      </c>
      <c r="AU57" s="30">
        <f t="shared" si="55"/>
        <v>0</v>
      </c>
      <c r="AV57" s="30">
        <f>AV7+AV15+AV18+AV20+AV33</f>
        <v>0</v>
      </c>
      <c r="AW57" s="30">
        <f t="shared" ref="AW57:AY57" si="56">AW7+AW15+AW18+AW20+AW33</f>
        <v>0</v>
      </c>
      <c r="AX57" s="53">
        <f t="shared" si="56"/>
        <v>0</v>
      </c>
      <c r="AY57" s="30">
        <f t="shared" si="56"/>
        <v>0</v>
      </c>
      <c r="AZ57" s="52" t="s">
        <v>59</v>
      </c>
      <c r="BA57" s="21">
        <f>AV57+D57+E57+H57+I57+L57+M57+P57+Q57+T57+U57+X57+Y57+AB57+AC57+AF57+AG57+AJ57+AK57+AN57+AO57+AR57+AS57+AW57</f>
        <v>1106116.5851726588</v>
      </c>
      <c r="BB57" s="21">
        <f>AZ77</f>
        <v>334047.20872214291</v>
      </c>
      <c r="BC57" s="54"/>
      <c r="BD57" s="5"/>
    </row>
    <row r="58" spans="1:198" s="129" customFormat="1">
      <c r="A58" s="140"/>
      <c r="B58" s="141"/>
      <c r="C58" s="142" t="s">
        <v>60</v>
      </c>
      <c r="D58" s="123">
        <f>D30+D50+D54</f>
        <v>8735.2999999999993</v>
      </c>
      <c r="E58" s="123">
        <f t="shared" ref="E58:G58" si="57">E30+E50+E54</f>
        <v>800.24</v>
      </c>
      <c r="F58" s="143">
        <f t="shared" si="57"/>
        <v>0.29411764705882354</v>
      </c>
      <c r="G58" s="123">
        <f t="shared" si="57"/>
        <v>2860.6620000000003</v>
      </c>
      <c r="H58" s="123">
        <f>H30+H50+H54</f>
        <v>9324.51</v>
      </c>
      <c r="I58" s="123">
        <f t="shared" ref="I58:K58" si="58">I30+I50+I54</f>
        <v>0</v>
      </c>
      <c r="J58" s="143">
        <f t="shared" si="58"/>
        <v>0.31788079470198677</v>
      </c>
      <c r="K58" s="123">
        <f t="shared" si="58"/>
        <v>2797.3530000000001</v>
      </c>
      <c r="L58" s="123">
        <f>L30+L50+L54</f>
        <v>8855.36</v>
      </c>
      <c r="M58" s="123">
        <f t="shared" ref="M58:O58" si="59">M30+M50+M54</f>
        <v>0</v>
      </c>
      <c r="N58" s="143">
        <f t="shared" si="59"/>
        <v>0.30188679245283023</v>
      </c>
      <c r="O58" s="123">
        <f t="shared" si="59"/>
        <v>2656.6079999999997</v>
      </c>
      <c r="P58" s="123">
        <f>P30+P50+P54</f>
        <v>8431.1377245508993</v>
      </c>
      <c r="Q58" s="123">
        <f t="shared" ref="Q58:S58" si="60">Q30+Q50+Q54</f>
        <v>0</v>
      </c>
      <c r="R58" s="143">
        <f t="shared" si="60"/>
        <v>0.28742514970059885</v>
      </c>
      <c r="S58" s="123">
        <f t="shared" si="60"/>
        <v>2529.3413173652698</v>
      </c>
      <c r="T58" s="123">
        <f>T30+T50+T54</f>
        <v>11069.182389937105</v>
      </c>
      <c r="U58" s="123">
        <f t="shared" ref="U58:W58" si="61">U30+U50+U54</f>
        <v>0</v>
      </c>
      <c r="V58" s="143">
        <f t="shared" si="61"/>
        <v>0.37735849056603776</v>
      </c>
      <c r="W58" s="123">
        <f t="shared" si="61"/>
        <v>3320.7547169811314</v>
      </c>
      <c r="X58" s="123">
        <f>X30+X50+X54</f>
        <v>8855.3459119496874</v>
      </c>
      <c r="Y58" s="123">
        <f t="shared" ref="Y58:AA58" si="62">Y30+Y50+Y54</f>
        <v>0</v>
      </c>
      <c r="Z58" s="143">
        <f t="shared" si="62"/>
        <v>0.30188679245283023</v>
      </c>
      <c r="AA58" s="123">
        <f t="shared" si="62"/>
        <v>2656.6037735849059</v>
      </c>
      <c r="AB58" s="123">
        <f>AB30+AB50+AB54</f>
        <v>8000</v>
      </c>
      <c r="AC58" s="123">
        <f t="shared" ref="AC58:AE58" si="63">AC30+AC50+AC54</f>
        <v>0</v>
      </c>
      <c r="AD58" s="143">
        <f t="shared" si="63"/>
        <v>0.27272727272727271</v>
      </c>
      <c r="AE58" s="123">
        <f t="shared" si="63"/>
        <v>2400</v>
      </c>
      <c r="AF58" s="123">
        <f>AF30+AF50+AF54</f>
        <v>9565.217391304348</v>
      </c>
      <c r="AG58" s="123">
        <f t="shared" ref="AG58:AI58" si="64">AG30+AG50+AG54</f>
        <v>0</v>
      </c>
      <c r="AH58" s="143">
        <f t="shared" si="64"/>
        <v>0.32608695652173914</v>
      </c>
      <c r="AI58" s="123">
        <f t="shared" si="64"/>
        <v>2869.565217391304</v>
      </c>
      <c r="AJ58" s="123">
        <f>AJ30+AJ50+AJ54</f>
        <v>0</v>
      </c>
      <c r="AK58" s="123">
        <f t="shared" ref="AK58:AM58" si="65">AK30+AK50+AK54</f>
        <v>0</v>
      </c>
      <c r="AL58" s="143">
        <f t="shared" si="65"/>
        <v>0</v>
      </c>
      <c r="AM58" s="123">
        <f t="shared" si="65"/>
        <v>0</v>
      </c>
      <c r="AN58" s="123">
        <f>AN30+AN50+AN54</f>
        <v>0</v>
      </c>
      <c r="AO58" s="123">
        <f t="shared" ref="AO58:AQ58" si="66">AO30+AO50+AO54</f>
        <v>0</v>
      </c>
      <c r="AP58" s="143">
        <f t="shared" si="66"/>
        <v>0</v>
      </c>
      <c r="AQ58" s="123">
        <f t="shared" si="66"/>
        <v>0</v>
      </c>
      <c r="AR58" s="123">
        <f>AR30+AR50+AR54</f>
        <v>0</v>
      </c>
      <c r="AS58" s="123">
        <f t="shared" ref="AS58:AU58" si="67">AS30+AS50+AS54</f>
        <v>0</v>
      </c>
      <c r="AT58" s="143">
        <f t="shared" si="67"/>
        <v>0</v>
      </c>
      <c r="AU58" s="123">
        <f t="shared" si="67"/>
        <v>0</v>
      </c>
      <c r="AV58" s="123">
        <f>AV30+AV50+AV54</f>
        <v>0</v>
      </c>
      <c r="AW58" s="123">
        <f t="shared" ref="AW58:AY58" si="68">AW30+AW50+AW54</f>
        <v>0</v>
      </c>
      <c r="AX58" s="143">
        <f t="shared" si="68"/>
        <v>0</v>
      </c>
      <c r="AY58" s="123">
        <f t="shared" si="68"/>
        <v>0</v>
      </c>
      <c r="AZ58" s="142" t="s">
        <v>60</v>
      </c>
      <c r="BA58" s="126">
        <f>AV58+D58+E58+H58+I58+L58+M58+P58+Q58+T58+U58+X58+Y58+AB58+AC58+AF58+AG58+AJ58+AK58+AN58+AO58+AR58+AS58+AW58</f>
        <v>73636.293417742039</v>
      </c>
      <c r="BB58" s="126">
        <f>AZ78</f>
        <v>22238.160612158095</v>
      </c>
      <c r="BC58" s="126"/>
    </row>
    <row r="59" spans="1:198" s="132" customFormat="1">
      <c r="A59" s="144"/>
      <c r="B59" s="145"/>
      <c r="C59" s="146" t="s">
        <v>61</v>
      </c>
      <c r="D59" s="130">
        <f>D56-D57-D58</f>
        <v>674058.81999999983</v>
      </c>
      <c r="E59" s="130">
        <f t="shared" ref="E59:G59" si="69">E56-E57-E58</f>
        <v>56003.009999999995</v>
      </c>
      <c r="F59" s="147">
        <f t="shared" si="69"/>
        <v>6.2941176470588234</v>
      </c>
      <c r="G59" s="130">
        <f t="shared" si="69"/>
        <v>219018.549</v>
      </c>
      <c r="H59" s="130">
        <f>H56-H57-H58</f>
        <v>214145.69000000003</v>
      </c>
      <c r="I59" s="130">
        <f t="shared" ref="I59" si="70">I56-I57-I58</f>
        <v>36534.74</v>
      </c>
      <c r="J59" s="147">
        <f t="shared" ref="J59" si="71">J56-J57-J58</f>
        <v>2.0662251655629147</v>
      </c>
      <c r="K59" s="130">
        <f t="shared" ref="K59" si="72">K56-K57-K58</f>
        <v>75204.129000000001</v>
      </c>
      <c r="L59" s="130">
        <f>L56-L57-L58</f>
        <v>208503.15000000002</v>
      </c>
      <c r="M59" s="130">
        <f t="shared" ref="M59" si="73">M56-M57-M58</f>
        <v>0</v>
      </c>
      <c r="N59" s="147">
        <f t="shared" ref="N59" si="74">N56-N57-N58</f>
        <v>2.0125786163522008</v>
      </c>
      <c r="O59" s="130">
        <f t="shared" ref="O59" si="75">O56-O57-O58</f>
        <v>62550.945000000014</v>
      </c>
      <c r="P59" s="130">
        <f>P56-P57-P58</f>
        <v>203401.19760479042</v>
      </c>
      <c r="Q59" s="130">
        <f t="shared" ref="Q59" si="76">Q56-Q57-Q58</f>
        <v>0</v>
      </c>
      <c r="R59" s="147">
        <f t="shared" ref="R59" si="77">R56-R57-R58</f>
        <v>1.9640718562874251</v>
      </c>
      <c r="S59" s="130">
        <f t="shared" ref="S59" si="78">S56-S57-S58</f>
        <v>61020.359281437122</v>
      </c>
      <c r="T59" s="130">
        <f>T56-T57-T58</f>
        <v>221735.84905660377</v>
      </c>
      <c r="U59" s="130">
        <f t="shared" ref="U59" si="79">U56-U57-U58</f>
        <v>0</v>
      </c>
      <c r="V59" s="147">
        <f t="shared" ref="V59" si="80">V56-V57-V58</f>
        <v>2.1383647798742134</v>
      </c>
      <c r="W59" s="130">
        <f t="shared" ref="W59" si="81">W56-W57-W58</f>
        <v>66520.75471698113</v>
      </c>
      <c r="X59" s="130">
        <f>X56-X57-X58</f>
        <v>195270.44025157229</v>
      </c>
      <c r="Y59" s="130">
        <f t="shared" ref="Y59" si="82">Y56-Y57-Y58</f>
        <v>0</v>
      </c>
      <c r="Z59" s="147">
        <f t="shared" ref="Z59" si="83">Z56-Z57-Z58</f>
        <v>1.8867924528301887</v>
      </c>
      <c r="AA59" s="130">
        <f t="shared" ref="AA59" si="84">AA56-AA57-AA58</f>
        <v>58581.132075471687</v>
      </c>
      <c r="AB59" s="130">
        <f>AB56-AB57-AB58</f>
        <v>209590.90909090909</v>
      </c>
      <c r="AC59" s="130">
        <f t="shared" ref="AC59" si="85">AC56-AC57-AC58</f>
        <v>0</v>
      </c>
      <c r="AD59" s="147">
        <f t="shared" ref="AD59" si="86">AD56-AD57-AD58</f>
        <v>2.0227272727272734</v>
      </c>
      <c r="AE59" s="130">
        <f t="shared" ref="AE59" si="87">AE56-AE57-AE58</f>
        <v>62877.272727272728</v>
      </c>
      <c r="AF59" s="130">
        <f>AF56-AF57-AF58</f>
        <v>204913.04347826089</v>
      </c>
      <c r="AG59" s="130">
        <f t="shared" ref="AG59" si="88">AG56-AG57-AG58</f>
        <v>0</v>
      </c>
      <c r="AH59" s="147">
        <f t="shared" ref="AH59" si="89">AH56-AH57-AH58</f>
        <v>1.9782608695652173</v>
      </c>
      <c r="AI59" s="130">
        <f t="shared" ref="AI59" si="90">AI56-AI57-AI58</f>
        <v>61473.913043478271</v>
      </c>
      <c r="AJ59" s="130">
        <f>AJ56-AJ57-AJ58</f>
        <v>0</v>
      </c>
      <c r="AK59" s="130">
        <f t="shared" ref="AK59" si="91">AK56-AK57-AK58</f>
        <v>0</v>
      </c>
      <c r="AL59" s="147">
        <f t="shared" ref="AL59" si="92">AL56-AL57-AL58</f>
        <v>0</v>
      </c>
      <c r="AM59" s="130">
        <f t="shared" ref="AM59" si="93">AM56-AM57-AM58</f>
        <v>0</v>
      </c>
      <c r="AN59" s="130">
        <f>AN56-AN57-AN58</f>
        <v>0</v>
      </c>
      <c r="AO59" s="130">
        <f t="shared" ref="AO59" si="94">AO56-AO57-AO58</f>
        <v>0</v>
      </c>
      <c r="AP59" s="147">
        <f t="shared" ref="AP59" si="95">AP56-AP57-AP58</f>
        <v>0</v>
      </c>
      <c r="AQ59" s="130">
        <f t="shared" ref="AQ59" si="96">AQ56-AQ57-AQ58</f>
        <v>0</v>
      </c>
      <c r="AR59" s="130">
        <f>AR56-AR57-AR58</f>
        <v>0</v>
      </c>
      <c r="AS59" s="130">
        <f t="shared" ref="AS59" si="97">AS56-AS57-AS58</f>
        <v>0</v>
      </c>
      <c r="AT59" s="147">
        <f t="shared" ref="AT59" si="98">AT56-AT57-AT58</f>
        <v>0</v>
      </c>
      <c r="AU59" s="130">
        <f t="shared" ref="AU59" si="99">AU56-AU57-AU58</f>
        <v>0</v>
      </c>
      <c r="AV59" s="130">
        <f>AV56-AV57-AV58</f>
        <v>0</v>
      </c>
      <c r="AW59" s="130">
        <f t="shared" ref="AW59" si="100">AW56-AW57-AW58</f>
        <v>0</v>
      </c>
      <c r="AX59" s="147">
        <f t="shared" ref="AX59" si="101">AX56-AX57-AX58</f>
        <v>0</v>
      </c>
      <c r="AY59" s="130">
        <f t="shared" ref="AY59" si="102">AY56-AY57-AY58</f>
        <v>0</v>
      </c>
      <c r="AZ59" s="146" t="s">
        <v>61</v>
      </c>
      <c r="BA59" s="131">
        <f>AV59+D59+E59+H59+I59+L59+M59+P59+Q59+T59+U59+X59+Y59+AB59+AC59+AF59+AG59+AJ59+AK59+AN59+AO59+AR59+AS59+AW59</f>
        <v>2224156.8494821363</v>
      </c>
      <c r="BB59" s="131">
        <f>AZ79</f>
        <v>671695.36854360532</v>
      </c>
      <c r="BC59" s="131"/>
    </row>
    <row r="60" spans="1:198">
      <c r="B60" s="104"/>
      <c r="C60" s="56" t="s">
        <v>62</v>
      </c>
      <c r="D60" s="57"/>
      <c r="E60" s="57"/>
      <c r="F60" s="57"/>
      <c r="G60" s="46">
        <f>(D56+E56)*0.2%</f>
        <v>1761.0771</v>
      </c>
      <c r="H60" s="57"/>
      <c r="I60" s="57"/>
      <c r="J60" s="57"/>
      <c r="K60" s="46">
        <f>(H56+I56)*0.2%</f>
        <v>809.57278000000008</v>
      </c>
      <c r="L60" s="57"/>
      <c r="M60" s="57"/>
      <c r="N60" s="57"/>
      <c r="O60" s="46">
        <f>(L56+M56)*0.2%</f>
        <v>710.71702000000005</v>
      </c>
      <c r="P60" s="57"/>
      <c r="Q60" s="57"/>
      <c r="R60" s="57"/>
      <c r="S60" s="46">
        <f>(P56+Q56)*0.2%</f>
        <v>687.40119760479047</v>
      </c>
      <c r="T60" s="57"/>
      <c r="U60" s="57"/>
      <c r="V60" s="57"/>
      <c r="W60" s="46">
        <f>(T56+U56)*0.2%</f>
        <v>773.61006289308182</v>
      </c>
      <c r="X60" s="57"/>
      <c r="Y60" s="57"/>
      <c r="Z60" s="57"/>
      <c r="AA60" s="46">
        <f>(X56+Y56)*0.2%</f>
        <v>652.25157232704396</v>
      </c>
      <c r="AB60" s="57"/>
      <c r="AC60" s="57"/>
      <c r="AD60" s="57"/>
      <c r="AE60" s="46">
        <f>(AB56+AC56)*0.2%</f>
        <v>715.36363636363637</v>
      </c>
      <c r="AF60" s="57"/>
      <c r="AG60" s="57"/>
      <c r="AH60" s="57"/>
      <c r="AI60" s="46">
        <f>(AF56+AG56)*0.2%</f>
        <v>697.82608695652186</v>
      </c>
      <c r="AJ60" s="57"/>
      <c r="AK60" s="57"/>
      <c r="AL60" s="57"/>
      <c r="AM60" s="46">
        <f>(AJ56+AK56)*0.2%</f>
        <v>0</v>
      </c>
      <c r="AN60" s="57"/>
      <c r="AO60" s="57"/>
      <c r="AP60" s="57"/>
      <c r="AQ60" s="46">
        <f>(AN56+AO56)*0.2%</f>
        <v>0</v>
      </c>
      <c r="AR60" s="57"/>
      <c r="AS60" s="57"/>
      <c r="AT60" s="57"/>
      <c r="AU60" s="46">
        <f>(AR56+AS56)*0.2%</f>
        <v>0</v>
      </c>
      <c r="AV60" s="57"/>
      <c r="AW60" s="57"/>
      <c r="AX60" s="57"/>
      <c r="AY60" s="46">
        <f>(AV56+AW56)*0.2%</f>
        <v>0</v>
      </c>
      <c r="AZ60" s="58"/>
      <c r="BA60" s="58"/>
      <c r="BB60" s="58"/>
      <c r="BC60" s="58"/>
    </row>
    <row r="61" spans="1:198">
      <c r="B61" s="104"/>
      <c r="C61" s="59"/>
      <c r="D61" s="432">
        <v>43101</v>
      </c>
      <c r="E61" s="433"/>
      <c r="F61" s="433"/>
      <c r="G61" s="434"/>
      <c r="H61" s="435">
        <v>43132</v>
      </c>
      <c r="I61" s="436"/>
      <c r="J61" s="436"/>
      <c r="K61" s="437"/>
      <c r="L61" s="438">
        <v>43160</v>
      </c>
      <c r="M61" s="439"/>
      <c r="N61" s="439"/>
      <c r="O61" s="440"/>
      <c r="P61" s="441">
        <v>43191</v>
      </c>
      <c r="Q61" s="442"/>
      <c r="R61" s="442"/>
      <c r="S61" s="443"/>
      <c r="T61" s="444">
        <v>43221</v>
      </c>
      <c r="U61" s="445"/>
      <c r="V61" s="445"/>
      <c r="W61" s="446"/>
      <c r="X61" s="447">
        <v>43252</v>
      </c>
      <c r="Y61" s="448"/>
      <c r="Z61" s="448"/>
      <c r="AA61" s="449"/>
      <c r="AB61" s="438">
        <v>43282</v>
      </c>
      <c r="AC61" s="439"/>
      <c r="AD61" s="439"/>
      <c r="AE61" s="440"/>
      <c r="AF61" s="435">
        <v>43313</v>
      </c>
      <c r="AG61" s="436"/>
      <c r="AH61" s="436"/>
      <c r="AI61" s="437"/>
      <c r="AJ61" s="450">
        <v>43344</v>
      </c>
      <c r="AK61" s="451"/>
      <c r="AL61" s="451"/>
      <c r="AM61" s="452"/>
      <c r="AN61" s="453">
        <v>43374</v>
      </c>
      <c r="AO61" s="454"/>
      <c r="AP61" s="454"/>
      <c r="AQ61" s="455"/>
      <c r="AR61" s="456">
        <v>43405</v>
      </c>
      <c r="AS61" s="457"/>
      <c r="AT61" s="457"/>
      <c r="AU61" s="458"/>
      <c r="AV61" s="429">
        <v>43435</v>
      </c>
      <c r="AW61" s="430"/>
      <c r="AX61" s="430"/>
      <c r="AY61" s="431"/>
      <c r="AZ61" s="4"/>
      <c r="BA61" s="4"/>
      <c r="BB61" s="4"/>
      <c r="BC61" s="4"/>
    </row>
    <row r="62" spans="1:198">
      <c r="B62" s="104"/>
      <c r="C62" s="60" t="s">
        <v>63</v>
      </c>
      <c r="D62" s="61">
        <f>D56+E56+D66+D67+D68</f>
        <v>937893.03999999992</v>
      </c>
      <c r="E62" s="62"/>
      <c r="F62" s="62"/>
      <c r="G62" s="61"/>
      <c r="H62" s="61">
        <f>H56+I56+H66+H67+H68</f>
        <v>450595.30000000005</v>
      </c>
      <c r="I62" s="62"/>
      <c r="J62" s="62"/>
      <c r="K62" s="61"/>
      <c r="L62" s="61">
        <f>L56+M56+L66+L67+L68</f>
        <v>401167.42000000004</v>
      </c>
      <c r="M62" s="62"/>
      <c r="N62" s="62"/>
      <c r="O62" s="61"/>
      <c r="P62" s="61">
        <f>P56+Q56+P66+P67+P68</f>
        <v>389509.50880239526</v>
      </c>
      <c r="Q62" s="62"/>
      <c r="R62" s="62"/>
      <c r="S62" s="61"/>
      <c r="T62" s="61">
        <f>T56+U56+T66+T67+T68</f>
        <v>432613.94144654094</v>
      </c>
      <c r="U62" s="61"/>
      <c r="V62" s="62"/>
      <c r="W62" s="61"/>
      <c r="X62" s="61">
        <f>X56+Y56+X66+X67+X68</f>
        <v>371934.69616352202</v>
      </c>
      <c r="Y62" s="62"/>
      <c r="Z62" s="62"/>
      <c r="AA62" s="61"/>
      <c r="AB62" s="61">
        <f>AB56+AC56+AB66+AB67+AB68</f>
        <v>403490.72818181821</v>
      </c>
      <c r="AC62" s="62"/>
      <c r="AD62" s="62"/>
      <c r="AE62" s="61"/>
      <c r="AF62" s="61">
        <f>AF56+AG56+AF66+AF67+AF68</f>
        <v>394721.95347826096</v>
      </c>
      <c r="AG62" s="62"/>
      <c r="AH62" s="62"/>
      <c r="AI62" s="61"/>
      <c r="AJ62" s="61"/>
      <c r="AK62" s="62"/>
      <c r="AL62" s="62"/>
      <c r="AM62" s="61"/>
      <c r="AN62" s="61"/>
      <c r="AO62" s="62"/>
      <c r="AP62" s="62"/>
      <c r="AQ62" s="61"/>
      <c r="AR62" s="61"/>
      <c r="AS62" s="62"/>
      <c r="AT62" s="62"/>
      <c r="AU62" s="61"/>
      <c r="AV62" s="61">
        <f>AV56+AW56+AV66+AV67</f>
        <v>0</v>
      </c>
      <c r="AW62" s="62"/>
      <c r="AX62" s="62"/>
      <c r="AY62" s="61"/>
      <c r="AZ62" s="63"/>
      <c r="BA62" s="63"/>
      <c r="BB62" s="63"/>
      <c r="BC62" s="63"/>
    </row>
    <row r="63" spans="1:198">
      <c r="B63" s="104"/>
      <c r="C63" s="64" t="s">
        <v>64</v>
      </c>
      <c r="D63" s="65"/>
      <c r="E63" s="66"/>
      <c r="F63" s="66"/>
      <c r="G63" s="65"/>
      <c r="H63" s="65"/>
      <c r="I63" s="66"/>
      <c r="J63" s="66"/>
      <c r="K63" s="65"/>
      <c r="L63" s="65"/>
      <c r="M63" s="66"/>
      <c r="N63" s="66"/>
      <c r="O63" s="65"/>
      <c r="P63" s="65"/>
      <c r="Q63" s="66"/>
      <c r="R63" s="66"/>
      <c r="S63" s="65"/>
      <c r="T63" s="65"/>
      <c r="U63" s="66"/>
      <c r="V63" s="66"/>
      <c r="W63" s="65"/>
      <c r="X63" s="65"/>
      <c r="Y63" s="66"/>
      <c r="Z63" s="66"/>
      <c r="AA63" s="65"/>
      <c r="AB63" s="65"/>
      <c r="AC63" s="66"/>
      <c r="AD63" s="66"/>
      <c r="AE63" s="65"/>
      <c r="AF63" s="65"/>
      <c r="AG63" s="66"/>
      <c r="AH63" s="66"/>
      <c r="AI63" s="65"/>
      <c r="AJ63" s="65"/>
      <c r="AK63" s="66"/>
      <c r="AL63" s="66"/>
      <c r="AM63" s="65"/>
      <c r="AN63" s="65"/>
      <c r="AO63" s="66"/>
      <c r="AP63" s="66"/>
      <c r="AQ63" s="65"/>
      <c r="AR63" s="65"/>
      <c r="AS63" s="66"/>
      <c r="AT63" s="66"/>
      <c r="AU63" s="65"/>
      <c r="AV63" s="65"/>
      <c r="AW63" s="66"/>
      <c r="AX63" s="66"/>
      <c r="AY63" s="65"/>
      <c r="AZ63" s="67"/>
      <c r="BA63" s="67"/>
      <c r="BB63" s="67"/>
      <c r="BC63" s="67"/>
    </row>
    <row r="64" spans="1:198">
      <c r="B64" s="104"/>
      <c r="C64" s="68"/>
      <c r="D64" s="85"/>
      <c r="E64" s="164"/>
      <c r="F64" s="85"/>
      <c r="G64" s="85"/>
      <c r="H64" s="85"/>
      <c r="I64" s="164"/>
      <c r="J64" s="85"/>
      <c r="K64" s="85"/>
      <c r="L64" s="85"/>
      <c r="M64" s="164"/>
      <c r="N64" s="85"/>
      <c r="O64" s="85"/>
      <c r="P64" s="85"/>
      <c r="Q64" s="164"/>
      <c r="R64" s="85"/>
      <c r="S64" s="85"/>
      <c r="T64" s="85"/>
      <c r="U64" s="164"/>
      <c r="V64" s="85"/>
      <c r="W64" s="85"/>
      <c r="X64" s="85"/>
      <c r="Y64" s="164"/>
      <c r="Z64" s="85"/>
      <c r="AA64" s="85"/>
      <c r="AB64" s="85"/>
      <c r="AC64" s="164"/>
      <c r="AD64" s="85"/>
      <c r="AE64" s="85"/>
      <c r="AF64" s="85"/>
      <c r="AG64" s="164"/>
      <c r="AH64" s="85"/>
      <c r="AI64" s="85"/>
      <c r="AJ64" s="85"/>
      <c r="AK64" s="164"/>
      <c r="AL64" s="165"/>
      <c r="AM64" s="85"/>
      <c r="AN64" s="85"/>
      <c r="AO64" s="164"/>
      <c r="AP64" s="165"/>
      <c r="AQ64" s="85"/>
      <c r="AR64" s="85"/>
      <c r="AS64" s="164"/>
      <c r="AT64" s="165"/>
      <c r="AU64" s="85"/>
      <c r="AV64" s="85"/>
      <c r="AW64" s="164"/>
      <c r="AX64" s="165"/>
      <c r="AY64" s="85"/>
      <c r="AZ64" s="69"/>
      <c r="BA64" s="69"/>
      <c r="BB64" s="69"/>
      <c r="BC64" s="69"/>
    </row>
    <row r="65" spans="2:60">
      <c r="B65" s="104"/>
      <c r="C65" s="64" t="s">
        <v>7</v>
      </c>
      <c r="D65" s="62"/>
      <c r="E65" s="62"/>
      <c r="F65" s="57"/>
      <c r="G65" s="70">
        <f>SUM(G66:G68)</f>
        <v>264161.55000000005</v>
      </c>
      <c r="H65" s="62"/>
      <c r="I65" s="62"/>
      <c r="J65" s="57"/>
      <c r="K65" s="70">
        <f>SUM(K66:K68)</f>
        <v>121435.91999999998</v>
      </c>
      <c r="L65" s="62"/>
      <c r="M65" s="62"/>
      <c r="N65" s="57"/>
      <c r="O65" s="70"/>
      <c r="P65" s="62"/>
      <c r="Q65" s="62"/>
      <c r="R65" s="57"/>
      <c r="S65" s="70"/>
      <c r="T65" s="62"/>
      <c r="U65" s="62"/>
      <c r="V65" s="57"/>
      <c r="W65" s="70"/>
      <c r="X65" s="62"/>
      <c r="Y65" s="62"/>
      <c r="Z65" s="57"/>
      <c r="AA65" s="70"/>
      <c r="AB65" s="62"/>
      <c r="AC65" s="62"/>
      <c r="AD65" s="57"/>
      <c r="AE65" s="70"/>
      <c r="AF65" s="62"/>
      <c r="AG65" s="62"/>
      <c r="AH65" s="57"/>
      <c r="AI65" s="70"/>
      <c r="AJ65" s="62"/>
      <c r="AK65" s="62"/>
      <c r="AL65" s="57"/>
      <c r="AM65" s="70"/>
      <c r="AN65" s="62"/>
      <c r="AO65" s="62"/>
      <c r="AP65" s="57"/>
      <c r="AQ65" s="70"/>
      <c r="AR65" s="62"/>
      <c r="AS65" s="62"/>
      <c r="AT65" s="71"/>
      <c r="AU65" s="70"/>
      <c r="AV65" s="62"/>
      <c r="AW65" s="62"/>
      <c r="AX65" s="71"/>
      <c r="AY65" s="70"/>
      <c r="AZ65" s="72"/>
      <c r="BA65" s="72"/>
      <c r="BB65" s="72"/>
      <c r="BC65" s="72"/>
    </row>
    <row r="66" spans="2:60">
      <c r="B66" s="104"/>
      <c r="C66" s="73" t="s">
        <v>8</v>
      </c>
      <c r="D66" s="63">
        <f>12855.31+16350.33</f>
        <v>29205.64</v>
      </c>
      <c r="E66" s="74" t="s">
        <v>77</v>
      </c>
      <c r="F66" s="75"/>
      <c r="G66" s="76">
        <v>25535.61</v>
      </c>
      <c r="H66" s="63">
        <v>12855.31</v>
      </c>
      <c r="I66" s="74" t="s">
        <v>77</v>
      </c>
      <c r="J66" s="75"/>
      <c r="K66" s="76">
        <v>11738.81</v>
      </c>
      <c r="L66" s="63">
        <v>12855.31</v>
      </c>
      <c r="M66" s="74" t="s">
        <v>77</v>
      </c>
      <c r="N66" s="75"/>
      <c r="O66" s="76"/>
      <c r="P66" s="63">
        <v>12855.31</v>
      </c>
      <c r="Q66" s="74" t="s">
        <v>77</v>
      </c>
      <c r="R66" s="75"/>
      <c r="S66" s="76"/>
      <c r="T66" s="63">
        <v>12855.31</v>
      </c>
      <c r="U66" s="74" t="s">
        <v>77</v>
      </c>
      <c r="V66" s="75"/>
      <c r="W66" s="76"/>
      <c r="X66" s="63">
        <v>12855.31</v>
      </c>
      <c r="Y66" s="74" t="s">
        <v>77</v>
      </c>
      <c r="Z66" s="75"/>
      <c r="AA66" s="76"/>
      <c r="AB66" s="63">
        <v>12855.31</v>
      </c>
      <c r="AC66" s="74" t="s">
        <v>77</v>
      </c>
      <c r="AD66" s="75"/>
      <c r="AE66" s="76"/>
      <c r="AF66" s="63">
        <v>12855.31</v>
      </c>
      <c r="AG66" s="74" t="s">
        <v>77</v>
      </c>
      <c r="AH66" s="75"/>
      <c r="AI66" s="76"/>
      <c r="AJ66" s="63"/>
      <c r="AK66" s="74"/>
      <c r="AL66" s="75"/>
      <c r="AM66" s="76"/>
      <c r="AN66" s="63"/>
      <c r="AO66" s="74"/>
      <c r="AP66" s="75"/>
      <c r="AQ66" s="76"/>
      <c r="AR66" s="63"/>
      <c r="AS66" s="74"/>
      <c r="AT66" s="75"/>
      <c r="AU66" s="76"/>
      <c r="AV66" s="63"/>
      <c r="AW66" s="74"/>
      <c r="AX66" s="75"/>
      <c r="AY66" s="77"/>
      <c r="AZ66" s="99"/>
      <c r="BA66" s="99"/>
      <c r="BB66" s="99"/>
      <c r="BC66" s="99"/>
      <c r="BD66" s="104"/>
      <c r="BE66" s="104"/>
      <c r="BF66" s="104"/>
      <c r="BG66" s="104"/>
      <c r="BH66" s="104"/>
    </row>
    <row r="67" spans="2:60">
      <c r="B67" s="104"/>
      <c r="C67" s="78" t="s">
        <v>65</v>
      </c>
      <c r="D67" s="63">
        <v>19412.95</v>
      </c>
      <c r="E67" s="79" t="s">
        <v>78</v>
      </c>
      <c r="F67" s="75"/>
      <c r="G67" s="76">
        <v>44907.46</v>
      </c>
      <c r="H67" s="63">
        <v>19412.95</v>
      </c>
      <c r="I67" s="79" t="s">
        <v>78</v>
      </c>
      <c r="J67" s="75"/>
      <c r="K67" s="76">
        <v>20644.099999999999</v>
      </c>
      <c r="L67" s="63">
        <v>19412.95</v>
      </c>
      <c r="M67" s="79" t="s">
        <v>78</v>
      </c>
      <c r="N67" s="75"/>
      <c r="O67" s="76"/>
      <c r="P67" s="63">
        <v>19412.95</v>
      </c>
      <c r="Q67" s="79" t="s">
        <v>78</v>
      </c>
      <c r="R67" s="75"/>
      <c r="S67" s="76"/>
      <c r="T67" s="63">
        <v>19412.95</v>
      </c>
      <c r="U67" s="79" t="s">
        <v>78</v>
      </c>
      <c r="V67" s="75"/>
      <c r="W67" s="76"/>
      <c r="X67" s="63">
        <v>19412.95</v>
      </c>
      <c r="Y67" s="79" t="s">
        <v>78</v>
      </c>
      <c r="Z67" s="75"/>
      <c r="AA67" s="76"/>
      <c r="AB67" s="63">
        <v>19412.95</v>
      </c>
      <c r="AC67" s="79" t="s">
        <v>78</v>
      </c>
      <c r="AD67" s="75"/>
      <c r="AE67" s="76"/>
      <c r="AF67" s="63">
        <v>19412.95</v>
      </c>
      <c r="AG67" s="79" t="s">
        <v>78</v>
      </c>
      <c r="AH67" s="75"/>
      <c r="AI67" s="76"/>
      <c r="AJ67" s="63"/>
      <c r="AK67" s="79"/>
      <c r="AL67" s="75"/>
      <c r="AM67" s="76"/>
      <c r="AN67" s="63"/>
      <c r="AO67" s="79"/>
      <c r="AP67" s="75"/>
      <c r="AQ67" s="76"/>
      <c r="AR67" s="63"/>
      <c r="AS67" s="74"/>
      <c r="AT67" s="75"/>
      <c r="AU67" s="76"/>
      <c r="AV67" s="63"/>
      <c r="AW67" s="79"/>
      <c r="AY67" s="77"/>
      <c r="AZ67" s="99"/>
      <c r="BA67" s="99"/>
      <c r="BB67" s="99"/>
      <c r="BC67" s="99"/>
      <c r="BD67" s="104"/>
      <c r="BE67" s="104"/>
      <c r="BF67" s="104"/>
      <c r="BG67" s="104"/>
      <c r="BH67" s="104"/>
    </row>
    <row r="68" spans="2:60">
      <c r="B68" s="104"/>
      <c r="C68" s="78" t="s">
        <v>0</v>
      </c>
      <c r="D68" s="63">
        <v>8735.9</v>
      </c>
      <c r="E68" s="79" t="s">
        <v>79</v>
      </c>
      <c r="F68" s="75"/>
      <c r="G68" s="76">
        <v>193718.48</v>
      </c>
      <c r="H68" s="63">
        <v>13540.65</v>
      </c>
      <c r="I68" s="79" t="s">
        <v>79</v>
      </c>
      <c r="J68" s="75"/>
      <c r="K68" s="76">
        <v>89053.01</v>
      </c>
      <c r="L68" s="63">
        <v>13540.65</v>
      </c>
      <c r="M68" s="79" t="s">
        <v>79</v>
      </c>
      <c r="N68" s="75"/>
      <c r="O68" s="76"/>
      <c r="P68" s="63">
        <v>13540.65</v>
      </c>
      <c r="Q68" s="79" t="s">
        <v>79</v>
      </c>
      <c r="R68" s="75"/>
      <c r="S68" s="76"/>
      <c r="T68" s="63">
        <v>13540.65</v>
      </c>
      <c r="U68" s="79" t="s">
        <v>79</v>
      </c>
      <c r="V68" s="75"/>
      <c r="W68" s="76"/>
      <c r="X68" s="63">
        <v>13540.65</v>
      </c>
      <c r="Y68" s="79" t="s">
        <v>79</v>
      </c>
      <c r="Z68" s="75"/>
      <c r="AA68" s="76"/>
      <c r="AB68" s="63">
        <v>13540.65</v>
      </c>
      <c r="AC68" s="79" t="s">
        <v>79</v>
      </c>
      <c r="AD68" s="75"/>
      <c r="AE68" s="76"/>
      <c r="AF68" s="63">
        <v>13540.65</v>
      </c>
      <c r="AG68" s="79" t="s">
        <v>79</v>
      </c>
      <c r="AH68" s="75"/>
      <c r="AI68" s="76"/>
      <c r="AJ68" s="63"/>
      <c r="AK68" s="79"/>
      <c r="AL68" s="75"/>
      <c r="AM68" s="76"/>
      <c r="AN68" s="63"/>
      <c r="AO68" s="79"/>
      <c r="AP68" s="75"/>
      <c r="AQ68" s="76"/>
      <c r="AR68" s="63"/>
      <c r="AS68" s="79"/>
      <c r="AT68" s="75"/>
      <c r="AU68" s="76"/>
      <c r="AV68" s="63"/>
      <c r="AW68" s="79"/>
      <c r="AX68" s="75"/>
      <c r="AY68" s="77"/>
      <c r="AZ68" s="99"/>
      <c r="BA68" s="99"/>
      <c r="BB68" s="99"/>
      <c r="BC68" s="99"/>
      <c r="BD68" s="99"/>
      <c r="BE68" s="99"/>
      <c r="BF68" s="99"/>
      <c r="BG68" s="99"/>
      <c r="BH68" s="104"/>
    </row>
    <row r="69" spans="2:60">
      <c r="B69" s="104"/>
      <c r="C69" s="80" t="s">
        <v>66</v>
      </c>
      <c r="D69" s="74"/>
      <c r="E69" s="74"/>
      <c r="F69" s="74"/>
      <c r="G69" s="81">
        <v>1761.08</v>
      </c>
      <c r="H69" s="74"/>
      <c r="I69" s="74"/>
      <c r="J69" s="74"/>
      <c r="K69" s="81">
        <v>809.57</v>
      </c>
      <c r="L69" s="74"/>
      <c r="M69" s="74"/>
      <c r="N69" s="74"/>
      <c r="O69" s="81"/>
      <c r="P69" s="74"/>
      <c r="Q69" s="74"/>
      <c r="R69" s="74"/>
      <c r="S69" s="81"/>
      <c r="T69" s="74"/>
      <c r="U69" s="74"/>
      <c r="V69" s="74"/>
      <c r="W69" s="81"/>
      <c r="X69" s="74"/>
      <c r="Y69" s="74"/>
      <c r="Z69" s="74"/>
      <c r="AA69" s="81"/>
      <c r="AB69" s="74"/>
      <c r="AC69" s="74"/>
      <c r="AD69" s="74"/>
      <c r="AE69" s="81"/>
      <c r="AF69" s="74"/>
      <c r="AG69" s="74"/>
      <c r="AH69" s="74"/>
      <c r="AI69" s="81"/>
      <c r="AJ69" s="74"/>
      <c r="AK69" s="74"/>
      <c r="AL69" s="74"/>
      <c r="AM69" s="81"/>
      <c r="AN69" s="82"/>
      <c r="AO69" s="83"/>
      <c r="AP69" s="74"/>
      <c r="AQ69" s="81"/>
      <c r="AR69" s="84"/>
      <c r="AS69" s="74"/>
      <c r="AT69" s="83"/>
      <c r="AU69" s="81"/>
      <c r="AV69" s="82"/>
      <c r="AW69" s="83"/>
      <c r="AX69" s="74"/>
      <c r="AY69" s="103"/>
      <c r="AZ69" s="104"/>
      <c r="BA69" s="99"/>
      <c r="BB69" s="99"/>
      <c r="BC69" s="99"/>
      <c r="BD69" s="104"/>
      <c r="BE69" s="99"/>
      <c r="BF69" s="99"/>
      <c r="BG69" s="99"/>
      <c r="BH69" s="104"/>
    </row>
    <row r="70" spans="2:60">
      <c r="B70" s="104"/>
      <c r="C70" s="55"/>
      <c r="D70" s="79"/>
      <c r="F70" s="77"/>
      <c r="G70" s="86"/>
      <c r="H70" s="79"/>
      <c r="J70" s="77"/>
      <c r="K70" s="86"/>
      <c r="L70" s="79"/>
      <c r="N70" s="77"/>
      <c r="O70" s="86"/>
      <c r="P70" s="79"/>
      <c r="R70" s="77"/>
      <c r="S70" s="86"/>
      <c r="T70" s="79"/>
      <c r="V70" s="77"/>
      <c r="W70" s="86"/>
      <c r="X70" s="79"/>
      <c r="Z70" s="77"/>
      <c r="AA70" s="86"/>
      <c r="AB70" s="79"/>
      <c r="AD70" s="77"/>
      <c r="AE70" s="86"/>
      <c r="AF70" s="79"/>
      <c r="AH70" s="77"/>
      <c r="AI70" s="86"/>
      <c r="AJ70" s="79"/>
      <c r="AL70" s="77"/>
      <c r="AM70" s="86"/>
      <c r="AN70" s="79"/>
      <c r="AO70" s="83"/>
      <c r="AP70" s="77"/>
      <c r="AQ70" s="86"/>
      <c r="AR70" s="63"/>
      <c r="AT70" s="87"/>
      <c r="AU70" s="86"/>
      <c r="AV70" s="79"/>
      <c r="AX70" s="77"/>
      <c r="AY70" s="63"/>
      <c r="AZ70" s="104"/>
      <c r="BA70" s="99"/>
      <c r="BB70" s="99"/>
      <c r="BC70" s="99"/>
      <c r="BD70" s="104"/>
      <c r="BE70" s="99"/>
      <c r="BF70" s="99"/>
      <c r="BG70" s="99"/>
      <c r="BH70" s="104"/>
    </row>
    <row r="71" spans="2:60" ht="25.5">
      <c r="C71" s="88" t="s">
        <v>67</v>
      </c>
      <c r="D71" s="79"/>
      <c r="E71" s="5"/>
      <c r="F71" s="89"/>
      <c r="G71" s="90"/>
      <c r="H71" s="79"/>
      <c r="I71" s="5"/>
      <c r="J71" s="89"/>
      <c r="K71" s="90"/>
      <c r="L71" s="79"/>
      <c r="M71" s="5"/>
      <c r="N71" s="89"/>
      <c r="O71" s="90"/>
      <c r="P71" s="79"/>
      <c r="Q71" s="5"/>
      <c r="R71" s="89"/>
      <c r="S71" s="90"/>
      <c r="T71" s="79"/>
      <c r="U71" s="5"/>
      <c r="V71" s="89"/>
      <c r="W71" s="90"/>
      <c r="X71" s="79"/>
      <c r="Y71" s="5"/>
      <c r="Z71" s="89"/>
      <c r="AA71" s="90"/>
      <c r="AB71" s="79"/>
      <c r="AC71" s="5"/>
      <c r="AD71" s="89"/>
      <c r="AE71" s="90"/>
      <c r="AF71" s="79"/>
      <c r="AG71" s="5"/>
      <c r="AH71" s="89"/>
      <c r="AI71" s="90"/>
      <c r="AJ71" s="79"/>
      <c r="AK71" s="5"/>
      <c r="AL71" s="89"/>
      <c r="AM71" s="90"/>
      <c r="AN71" s="79"/>
      <c r="AO71" s="5"/>
      <c r="AP71" s="89"/>
      <c r="AQ71" s="90"/>
      <c r="AR71" s="79"/>
      <c r="AS71" s="5"/>
      <c r="AT71" s="89"/>
      <c r="AU71" s="90"/>
      <c r="AV71" s="79"/>
      <c r="AW71" s="5"/>
      <c r="AX71" s="89"/>
      <c r="AY71" s="90"/>
      <c r="AZ71" s="100"/>
      <c r="BA71" s="101"/>
      <c r="BB71" s="104"/>
      <c r="BC71" s="102"/>
      <c r="BD71" s="104"/>
      <c r="BE71" s="104"/>
      <c r="BF71" s="104"/>
      <c r="BG71" s="104"/>
      <c r="BH71" s="104"/>
    </row>
    <row r="72" spans="2:60">
      <c r="C72" s="52" t="s">
        <v>68</v>
      </c>
      <c r="D72" s="91"/>
      <c r="E72" s="91"/>
      <c r="F72" s="91"/>
      <c r="G72" s="92">
        <f>(D57+E57)*0.2%</f>
        <v>281.88236000000001</v>
      </c>
      <c r="H72" s="93"/>
      <c r="I72" s="93"/>
      <c r="J72" s="93"/>
      <c r="K72" s="92">
        <f>(H57+I57)*0.2%</f>
        <v>289.56289999999996</v>
      </c>
      <c r="L72" s="93"/>
      <c r="M72" s="93"/>
      <c r="N72" s="93"/>
      <c r="O72" s="92">
        <f t="shared" ref="O72:P72" si="103">(L57+M57)*0.2%</f>
        <v>276</v>
      </c>
      <c r="P72" s="92">
        <f t="shared" si="103"/>
        <v>2.0125786163522012E-3</v>
      </c>
      <c r="Q72" s="93"/>
      <c r="R72" s="93"/>
      <c r="S72" s="92">
        <f t="shared" ref="S72:S74" si="104">(P57+Q57)*0.2%</f>
        <v>263.7365269461078</v>
      </c>
      <c r="T72" s="93"/>
      <c r="U72" s="93"/>
      <c r="V72" s="93"/>
      <c r="W72" s="92">
        <f t="shared" ref="W72:W74" si="105">(T57+U57)*0.2%</f>
        <v>308.00000000000006</v>
      </c>
      <c r="X72" s="93"/>
      <c r="Y72" s="93"/>
      <c r="Z72" s="93"/>
      <c r="AA72" s="92">
        <f t="shared" ref="AA72:AA74" si="106">(X57+Y57)*0.2%</f>
        <v>243.99999999999997</v>
      </c>
      <c r="AB72" s="93"/>
      <c r="AC72" s="93"/>
      <c r="AD72" s="93"/>
      <c r="AE72" s="92">
        <f t="shared" ref="AE72:AE74" si="107">(AB57+AC57)*0.2%</f>
        <v>280.18181818181819</v>
      </c>
      <c r="AF72" s="93"/>
      <c r="AG72" s="93"/>
      <c r="AH72" s="93"/>
      <c r="AI72" s="92">
        <f t="shared" ref="AI72:AI74" si="108">(AF57+AG57)*0.2%</f>
        <v>268.86956521739137</v>
      </c>
      <c r="AJ72" s="93"/>
      <c r="AK72" s="93"/>
      <c r="AL72" s="93"/>
      <c r="AM72" s="92">
        <f t="shared" ref="AM72:AM74" si="109">(AJ57+AK57)*0.2%</f>
        <v>0</v>
      </c>
      <c r="AN72" s="93"/>
      <c r="AO72" s="93"/>
      <c r="AP72" s="93"/>
      <c r="AQ72" s="92">
        <f t="shared" ref="AQ72:AQ74" si="110">(AN57+AO57)*0.2%</f>
        <v>0</v>
      </c>
      <c r="AR72" s="93"/>
      <c r="AS72" s="93"/>
      <c r="AT72" s="93"/>
      <c r="AU72" s="92">
        <f t="shared" ref="AU72:AU74" si="111">(AR57+AS57)*0.2%</f>
        <v>0</v>
      </c>
      <c r="AV72" s="93"/>
      <c r="AW72" s="93"/>
      <c r="AX72" s="93"/>
      <c r="AY72" s="92">
        <f t="shared" ref="AY72:AY74" si="112">(AV57+AW57)*0.2%</f>
        <v>0</v>
      </c>
      <c r="AZ72" s="94"/>
      <c r="BA72" s="94"/>
      <c r="BB72" s="94"/>
      <c r="BC72" s="94"/>
    </row>
    <row r="73" spans="2:60" s="129" customFormat="1">
      <c r="C73" s="142" t="s">
        <v>69</v>
      </c>
      <c r="D73" s="148"/>
      <c r="E73" s="148"/>
      <c r="F73" s="149"/>
      <c r="G73" s="150">
        <f>(D58+E58)*0.2%</f>
        <v>19.071079999999998</v>
      </c>
      <c r="H73" s="151"/>
      <c r="I73" s="151"/>
      <c r="J73" s="150"/>
      <c r="K73" s="150">
        <f>(H58+I58)*0.2%</f>
        <v>18.64902</v>
      </c>
      <c r="L73" s="151"/>
      <c r="M73" s="151"/>
      <c r="N73" s="150"/>
      <c r="O73" s="150">
        <f t="shared" ref="O73:P73" si="113">(L58+M58)*0.2%</f>
        <v>17.710720000000002</v>
      </c>
      <c r="P73" s="150">
        <f t="shared" si="113"/>
        <v>6.0377358490566052E-4</v>
      </c>
      <c r="Q73" s="151"/>
      <c r="R73" s="150"/>
      <c r="S73" s="150">
        <f t="shared" si="104"/>
        <v>16.862275449101798</v>
      </c>
      <c r="T73" s="151"/>
      <c r="U73" s="151"/>
      <c r="V73" s="150"/>
      <c r="W73" s="150">
        <f t="shared" si="105"/>
        <v>22.138364779874209</v>
      </c>
      <c r="X73" s="151"/>
      <c r="Y73" s="151"/>
      <c r="Z73" s="150"/>
      <c r="AA73" s="150">
        <f t="shared" si="106"/>
        <v>17.710691823899374</v>
      </c>
      <c r="AB73" s="151"/>
      <c r="AC73" s="151"/>
      <c r="AD73" s="150"/>
      <c r="AE73" s="150">
        <f t="shared" si="107"/>
        <v>16</v>
      </c>
      <c r="AF73" s="151"/>
      <c r="AG73" s="151"/>
      <c r="AH73" s="150"/>
      <c r="AI73" s="150">
        <f t="shared" si="108"/>
        <v>19.130434782608695</v>
      </c>
      <c r="AJ73" s="151"/>
      <c r="AK73" s="151"/>
      <c r="AL73" s="150"/>
      <c r="AM73" s="150">
        <f t="shared" si="109"/>
        <v>0</v>
      </c>
      <c r="AN73" s="151"/>
      <c r="AO73" s="151"/>
      <c r="AP73" s="150"/>
      <c r="AQ73" s="150">
        <f t="shared" si="110"/>
        <v>0</v>
      </c>
      <c r="AR73" s="151"/>
      <c r="AS73" s="151"/>
      <c r="AT73" s="150"/>
      <c r="AU73" s="150">
        <f t="shared" si="111"/>
        <v>0</v>
      </c>
      <c r="AV73" s="151"/>
      <c r="AW73" s="151"/>
      <c r="AX73" s="150"/>
      <c r="AY73" s="150">
        <f t="shared" si="112"/>
        <v>0</v>
      </c>
      <c r="AZ73" s="152"/>
      <c r="BA73" s="152"/>
      <c r="BB73" s="152"/>
      <c r="BC73" s="152"/>
    </row>
    <row r="74" spans="2:60" s="132" customFormat="1" ht="13.5" thickBot="1">
      <c r="C74" s="146" t="s">
        <v>70</v>
      </c>
      <c r="D74" s="153"/>
      <c r="E74" s="153"/>
      <c r="F74" s="154"/>
      <c r="G74" s="155">
        <f>(D59+E59)*0.2%</f>
        <v>1460.1236599999997</v>
      </c>
      <c r="H74" s="156"/>
      <c r="I74" s="156"/>
      <c r="J74" s="155"/>
      <c r="K74" s="155">
        <f>(H59+I59)*0.2%</f>
        <v>501.36086000000006</v>
      </c>
      <c r="L74" s="156"/>
      <c r="M74" s="156"/>
      <c r="N74" s="155"/>
      <c r="O74" s="155">
        <f t="shared" ref="O74:P74" si="114">(L59+M59)*0.2%</f>
        <v>417.00630000000007</v>
      </c>
      <c r="P74" s="155">
        <f t="shared" si="114"/>
        <v>4.0251572327044014E-3</v>
      </c>
      <c r="Q74" s="156"/>
      <c r="R74" s="155"/>
      <c r="S74" s="155">
        <f t="shared" si="104"/>
        <v>406.80239520958082</v>
      </c>
      <c r="T74" s="156"/>
      <c r="U74" s="156"/>
      <c r="V74" s="155"/>
      <c r="W74" s="155">
        <f t="shared" si="105"/>
        <v>443.47169811320754</v>
      </c>
      <c r="X74" s="156"/>
      <c r="Y74" s="156"/>
      <c r="Z74" s="155"/>
      <c r="AA74" s="155">
        <f t="shared" si="106"/>
        <v>390.54088050314459</v>
      </c>
      <c r="AB74" s="156"/>
      <c r="AC74" s="156"/>
      <c r="AD74" s="155"/>
      <c r="AE74" s="155">
        <f t="shared" si="107"/>
        <v>419.18181818181819</v>
      </c>
      <c r="AF74" s="156"/>
      <c r="AG74" s="156"/>
      <c r="AH74" s="155"/>
      <c r="AI74" s="155">
        <f t="shared" si="108"/>
        <v>409.82608695652181</v>
      </c>
      <c r="AJ74" s="156"/>
      <c r="AK74" s="156"/>
      <c r="AL74" s="155"/>
      <c r="AM74" s="155">
        <f t="shared" si="109"/>
        <v>0</v>
      </c>
      <c r="AN74" s="156"/>
      <c r="AO74" s="156"/>
      <c r="AP74" s="155"/>
      <c r="AQ74" s="155">
        <f t="shared" si="110"/>
        <v>0</v>
      </c>
      <c r="AR74" s="156"/>
      <c r="AS74" s="156"/>
      <c r="AT74" s="155"/>
      <c r="AU74" s="155">
        <f t="shared" si="111"/>
        <v>0</v>
      </c>
      <c r="AV74" s="156"/>
      <c r="AW74" s="156"/>
      <c r="AX74" s="155"/>
      <c r="AY74" s="155">
        <f t="shared" si="112"/>
        <v>0</v>
      </c>
      <c r="AZ74" s="157"/>
      <c r="BA74" s="157"/>
      <c r="BB74" s="157"/>
      <c r="BC74" s="157"/>
    </row>
    <row r="75" spans="2:60">
      <c r="G75" s="95">
        <f>SUM(G72:G74)-G60</f>
        <v>0</v>
      </c>
      <c r="K75" s="95">
        <f>SUM(K72:K74)-K60</f>
        <v>0</v>
      </c>
      <c r="O75" s="95">
        <f>SUM(O72:O74)-O60</f>
        <v>0</v>
      </c>
      <c r="S75" s="95">
        <f>SUM(S72:S74)-S60</f>
        <v>0</v>
      </c>
      <c r="W75" s="95">
        <f>SUM(W72:W74)-W60</f>
        <v>0</v>
      </c>
      <c r="AA75" s="95">
        <f>SUM(AA72:AA74)-AA60</f>
        <v>0</v>
      </c>
      <c r="AE75" s="95">
        <f>SUM(AE72:AE74)-AE60</f>
        <v>0</v>
      </c>
      <c r="AI75" s="95">
        <f>SUM(AI72:AI74)-AI60</f>
        <v>0</v>
      </c>
      <c r="AM75" s="95">
        <f>SUM(AM72:AM74)-AM60</f>
        <v>0</v>
      </c>
      <c r="AQ75" s="95">
        <f>SUM(AQ72:AQ74)-AQ60</f>
        <v>0</v>
      </c>
      <c r="AR75" s="5"/>
      <c r="AS75" s="96"/>
      <c r="AU75" s="95">
        <f>SUM(AU72:AU74)-AU60</f>
        <v>0</v>
      </c>
      <c r="AY75" s="95">
        <f>SUM(AY72:AY74)-AY60</f>
        <v>0</v>
      </c>
      <c r="AZ75" s="90"/>
      <c r="BA75" s="90"/>
      <c r="BB75" s="90"/>
      <c r="BC75" s="90"/>
    </row>
    <row r="76" spans="2:60">
      <c r="G76" s="97"/>
      <c r="K76" s="97"/>
      <c r="O76" s="97"/>
      <c r="S76" s="97"/>
      <c r="W76" s="97"/>
      <c r="AA76" s="97"/>
      <c r="AE76" s="97"/>
      <c r="AI76" s="97"/>
      <c r="AM76" s="97"/>
      <c r="AQ76" s="97"/>
      <c r="AS76" s="96"/>
      <c r="AU76" s="97"/>
      <c r="AY76" s="97"/>
      <c r="AZ76" s="79"/>
      <c r="BA76" s="79"/>
      <c r="BB76" s="79"/>
      <c r="BC76" s="79"/>
    </row>
    <row r="77" spans="2:60" s="34" customFormat="1">
      <c r="C77" s="41" t="s">
        <v>71</v>
      </c>
      <c r="D77" s="41"/>
      <c r="E77" s="41"/>
      <c r="F77" s="41"/>
      <c r="G77" s="98">
        <f>G57+G72</f>
        <v>42564.236360000003</v>
      </c>
      <c r="H77" s="41"/>
      <c r="I77" s="41"/>
      <c r="J77" s="41"/>
      <c r="K77" s="98">
        <f>K57+K72</f>
        <v>43723.997899999995</v>
      </c>
      <c r="L77" s="41"/>
      <c r="M77" s="41"/>
      <c r="N77" s="41"/>
      <c r="O77" s="98">
        <f>O57+O72</f>
        <v>41676</v>
      </c>
      <c r="P77" s="41"/>
      <c r="Q77" s="41"/>
      <c r="R77" s="41"/>
      <c r="S77" s="98">
        <f>S57+S72</f>
        <v>39824.215568862281</v>
      </c>
      <c r="T77" s="41"/>
      <c r="U77" s="41"/>
      <c r="V77" s="41"/>
      <c r="W77" s="98">
        <f>W57+W72</f>
        <v>46508</v>
      </c>
      <c r="X77" s="41"/>
      <c r="Y77" s="41"/>
      <c r="Z77" s="41"/>
      <c r="AA77" s="98">
        <f>AA57+AA72</f>
        <v>36843.999999999993</v>
      </c>
      <c r="AB77" s="41"/>
      <c r="AC77" s="41"/>
      <c r="AD77" s="41"/>
      <c r="AE77" s="98">
        <f>AE57+AE72</f>
        <v>42307.454545454544</v>
      </c>
      <c r="AF77" s="41"/>
      <c r="AG77" s="41"/>
      <c r="AH77" s="41"/>
      <c r="AI77" s="98">
        <f>AI57+AI72</f>
        <v>40599.304347826088</v>
      </c>
      <c r="AJ77" s="41"/>
      <c r="AK77" s="41"/>
      <c r="AL77" s="41"/>
      <c r="AM77" s="98">
        <f>AM57+AM72</f>
        <v>0</v>
      </c>
      <c r="AN77" s="41"/>
      <c r="AO77" s="41"/>
      <c r="AP77" s="41"/>
      <c r="AQ77" s="98">
        <f>AQ57+AQ72</f>
        <v>0</v>
      </c>
      <c r="AR77" s="41"/>
      <c r="AS77" s="41"/>
      <c r="AT77" s="41"/>
      <c r="AU77" s="98">
        <f>AU57+AU72</f>
        <v>0</v>
      </c>
      <c r="AV77" s="41"/>
      <c r="AW77" s="41"/>
      <c r="AX77" s="41"/>
      <c r="AY77" s="98">
        <f>AY57+AY72</f>
        <v>0</v>
      </c>
      <c r="AZ77" s="67">
        <f>SUM(D77:AY77)</f>
        <v>334047.20872214291</v>
      </c>
      <c r="BA77" s="67"/>
      <c r="BB77" s="67"/>
      <c r="BC77" s="67"/>
    </row>
    <row r="78" spans="2:60" s="129" customFormat="1">
      <c r="C78" s="162" t="s">
        <v>72</v>
      </c>
      <c r="D78" s="162"/>
      <c r="E78" s="162"/>
      <c r="F78" s="162"/>
      <c r="G78" s="162">
        <f>G58+G73</f>
        <v>2879.7330800000004</v>
      </c>
      <c r="H78" s="162"/>
      <c r="I78" s="162"/>
      <c r="J78" s="162"/>
      <c r="K78" s="162">
        <f>K58+K73</f>
        <v>2816.0020199999999</v>
      </c>
      <c r="L78" s="162"/>
      <c r="M78" s="162"/>
      <c r="N78" s="162"/>
      <c r="O78" s="162">
        <f>O58+O73</f>
        <v>2674.3187199999998</v>
      </c>
      <c r="P78" s="162"/>
      <c r="Q78" s="162"/>
      <c r="R78" s="162"/>
      <c r="S78" s="162">
        <f>S58+S73</f>
        <v>2546.2035928143714</v>
      </c>
      <c r="T78" s="162"/>
      <c r="U78" s="162"/>
      <c r="V78" s="162"/>
      <c r="W78" s="162">
        <f>W58+W73</f>
        <v>3342.8930817610058</v>
      </c>
      <c r="X78" s="162"/>
      <c r="Y78" s="162"/>
      <c r="Z78" s="162"/>
      <c r="AA78" s="162">
        <f>AA58+AA73</f>
        <v>2674.3144654088051</v>
      </c>
      <c r="AB78" s="162"/>
      <c r="AC78" s="162"/>
      <c r="AD78" s="162"/>
      <c r="AE78" s="162">
        <f>AE58+AE73</f>
        <v>2416</v>
      </c>
      <c r="AF78" s="162"/>
      <c r="AG78" s="162"/>
      <c r="AH78" s="162"/>
      <c r="AI78" s="162">
        <f>AI58+AI73</f>
        <v>2888.6956521739125</v>
      </c>
      <c r="AJ78" s="162"/>
      <c r="AK78" s="162"/>
      <c r="AL78" s="162"/>
      <c r="AM78" s="162">
        <f>AM58+AM73</f>
        <v>0</v>
      </c>
      <c r="AN78" s="162"/>
      <c r="AO78" s="162"/>
      <c r="AP78" s="162"/>
      <c r="AQ78" s="162">
        <f>AQ58+AQ73</f>
        <v>0</v>
      </c>
      <c r="AR78" s="162"/>
      <c r="AS78" s="162"/>
      <c r="AT78" s="162"/>
      <c r="AU78" s="162">
        <f>AU58+AU73</f>
        <v>0</v>
      </c>
      <c r="AV78" s="162"/>
      <c r="AW78" s="162"/>
      <c r="AX78" s="162"/>
      <c r="AY78" s="162">
        <f>AY58+AY73</f>
        <v>0</v>
      </c>
      <c r="AZ78" s="163">
        <f>SUM(D78:AY78)</f>
        <v>22238.160612158095</v>
      </c>
      <c r="BA78" s="163"/>
      <c r="BB78" s="163"/>
      <c r="BC78" s="163"/>
    </row>
    <row r="79" spans="2:60" s="132" customFormat="1" ht="13.5" thickBot="1">
      <c r="C79" s="158" t="s">
        <v>73</v>
      </c>
      <c r="D79" s="159"/>
      <c r="E79" s="159"/>
      <c r="F79" s="159"/>
      <c r="G79" s="159">
        <f>G59+G74</f>
        <v>220478.67266000001</v>
      </c>
      <c r="H79" s="159"/>
      <c r="I79" s="159"/>
      <c r="J79" s="159"/>
      <c r="K79" s="159">
        <f>K59+K74</f>
        <v>75705.489860000001</v>
      </c>
      <c r="L79" s="159"/>
      <c r="M79" s="159"/>
      <c r="N79" s="159"/>
      <c r="O79" s="159">
        <f>O59+O74</f>
        <v>62967.951300000015</v>
      </c>
      <c r="P79" s="159"/>
      <c r="Q79" s="159"/>
      <c r="R79" s="159"/>
      <c r="S79" s="159">
        <f>S59+S74</f>
        <v>61427.161676646705</v>
      </c>
      <c r="T79" s="159"/>
      <c r="U79" s="159"/>
      <c r="V79" s="159"/>
      <c r="W79" s="159">
        <f>W59+W74</f>
        <v>66964.226415094337</v>
      </c>
      <c r="X79" s="159"/>
      <c r="Y79" s="159"/>
      <c r="Z79" s="159"/>
      <c r="AA79" s="159">
        <f>AA59+AA74</f>
        <v>58971.672955974835</v>
      </c>
      <c r="AB79" s="159"/>
      <c r="AC79" s="159"/>
      <c r="AD79" s="159"/>
      <c r="AE79" s="159">
        <f>AE59+AE74</f>
        <v>63296.454545454544</v>
      </c>
      <c r="AF79" s="159"/>
      <c r="AG79" s="159"/>
      <c r="AH79" s="159"/>
      <c r="AI79" s="159">
        <f>AI59+AI74</f>
        <v>61883.739130434791</v>
      </c>
      <c r="AJ79" s="159"/>
      <c r="AK79" s="159"/>
      <c r="AL79" s="159"/>
      <c r="AM79" s="159">
        <f>AM59+AM74</f>
        <v>0</v>
      </c>
      <c r="AN79" s="159"/>
      <c r="AO79" s="159"/>
      <c r="AP79" s="159"/>
      <c r="AQ79" s="159">
        <f>AQ59+AQ74</f>
        <v>0</v>
      </c>
      <c r="AR79" s="159"/>
      <c r="AS79" s="159"/>
      <c r="AT79" s="159"/>
      <c r="AU79" s="159">
        <f>AU59+AU74</f>
        <v>0</v>
      </c>
      <c r="AV79" s="159"/>
      <c r="AW79" s="159"/>
      <c r="AX79" s="159"/>
      <c r="AY79" s="159">
        <f>AY59+AY74</f>
        <v>0</v>
      </c>
      <c r="AZ79" s="160">
        <f>SUM(D79:AY79)</f>
        <v>671695.36854360532</v>
      </c>
      <c r="BA79" s="161"/>
      <c r="BB79" s="161"/>
      <c r="BC79" s="161"/>
    </row>
    <row r="80" spans="2:60">
      <c r="G80" s="5"/>
      <c r="K80" s="5"/>
      <c r="O80" s="5"/>
      <c r="S80" s="5"/>
      <c r="W80" s="5"/>
      <c r="AA80" s="5"/>
      <c r="AE80" s="5"/>
      <c r="AI80" s="5"/>
      <c r="AM80" s="5"/>
      <c r="AQ80" s="5"/>
      <c r="AU80" s="5"/>
      <c r="AY80" s="5"/>
      <c r="AZ80" s="170">
        <f>SUM(AZ77:AZ79)</f>
        <v>1027980.7378779063</v>
      </c>
      <c r="BA80" s="5"/>
      <c r="BB80" s="5"/>
      <c r="BC80" s="5"/>
    </row>
    <row r="81" spans="7:55">
      <c r="G81" s="5">
        <f>G56+G60</f>
        <v>265922.6421</v>
      </c>
      <c r="K81" s="5">
        <f>K56+K60</f>
        <v>122245.48978</v>
      </c>
      <c r="O81" s="5">
        <f>O56+O60</f>
        <v>107318.27002000001</v>
      </c>
      <c r="S81" s="5">
        <f>S56+S60</f>
        <v>103797.58083832335</v>
      </c>
      <c r="W81" s="5">
        <f>W56+W60</f>
        <v>116815.11949685535</v>
      </c>
      <c r="AA81" s="5">
        <f>AA56+AA60</f>
        <v>98489.98742138363</v>
      </c>
      <c r="AE81" s="5">
        <f>AE56+AE60</f>
        <v>108019.90909090909</v>
      </c>
      <c r="AI81" s="5">
        <f>AI56+AI60</f>
        <v>105371.7391304348</v>
      </c>
      <c r="AM81" s="5">
        <f>AM56+AM60</f>
        <v>0</v>
      </c>
      <c r="AQ81" s="5">
        <f>AQ56+AQ60</f>
        <v>0</v>
      </c>
      <c r="AU81" s="5">
        <f>AU56+AU60</f>
        <v>0</v>
      </c>
      <c r="AY81" s="5">
        <f>AY56+AY60</f>
        <v>0</v>
      </c>
      <c r="AZ81" s="5">
        <f>SUM(G81:AY81)</f>
        <v>1027980.7378779062</v>
      </c>
      <c r="BA81" s="5"/>
      <c r="BB81" s="5"/>
      <c r="BC81" s="5"/>
    </row>
  </sheetData>
  <mergeCells count="24">
    <mergeCell ref="AV3:AY3"/>
    <mergeCell ref="D3:G3"/>
    <mergeCell ref="H3:K3"/>
    <mergeCell ref="L3:O3"/>
    <mergeCell ref="P3:S3"/>
    <mergeCell ref="T3:W3"/>
    <mergeCell ref="X3:AA3"/>
    <mergeCell ref="AB3:AE3"/>
    <mergeCell ref="AF3:AI3"/>
    <mergeCell ref="AJ3:AM3"/>
    <mergeCell ref="AN3:AQ3"/>
    <mergeCell ref="AR3:AU3"/>
    <mergeCell ref="AV61:AY61"/>
    <mergeCell ref="D61:G61"/>
    <mergeCell ref="H61:K61"/>
    <mergeCell ref="L61:O61"/>
    <mergeCell ref="P61:S61"/>
    <mergeCell ref="T61:W61"/>
    <mergeCell ref="X61:AA61"/>
    <mergeCell ref="AB61:AE61"/>
    <mergeCell ref="AF61:AI61"/>
    <mergeCell ref="AJ61:AM61"/>
    <mergeCell ref="AN61:AQ61"/>
    <mergeCell ref="AR61:AU6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H115"/>
  <sheetViews>
    <sheetView showGridLines="0" zoomScale="82" zoomScaleNormal="82" zoomScaleSheetLayoutView="75" workbookViewId="0">
      <selection sqref="A1:AR105"/>
    </sheetView>
  </sheetViews>
  <sheetFormatPr defaultColWidth="2.7109375" defaultRowHeight="12"/>
  <cols>
    <col min="1" max="6" width="2.7109375" style="178" customWidth="1"/>
    <col min="7" max="7" width="13.85546875" style="178" customWidth="1"/>
    <col min="8" max="8" width="2.7109375" style="178" customWidth="1"/>
    <col min="9" max="9" width="2.42578125" style="178" customWidth="1"/>
    <col min="10" max="10" width="2.140625" style="178" customWidth="1"/>
    <col min="11" max="13" width="2.7109375" style="178" customWidth="1"/>
    <col min="14" max="14" width="2.28515625" style="178" customWidth="1"/>
    <col min="15" max="22" width="2.7109375" style="178" customWidth="1"/>
    <col min="23" max="23" width="12.42578125" style="178" customWidth="1"/>
    <col min="24" max="24" width="0.42578125" style="178" hidden="1" customWidth="1"/>
    <col min="25" max="25" width="2.7109375" style="177" customWidth="1"/>
    <col min="26" max="26" width="4.5703125" style="177" bestFit="1" customWidth="1"/>
    <col min="27" max="27" width="4.5703125" style="177" customWidth="1"/>
    <col min="28" max="28" width="4.7109375" style="178" customWidth="1"/>
    <col min="29" max="29" width="5.5703125" style="178" customWidth="1"/>
    <col min="30" max="30" width="2.7109375" style="178" customWidth="1"/>
    <col min="31" max="31" width="14.85546875" style="178" customWidth="1"/>
    <col min="32" max="32" width="3.42578125" style="178" customWidth="1"/>
    <col min="33" max="33" width="3.28515625" style="178" customWidth="1"/>
    <col min="34" max="34" width="8.7109375" style="178" customWidth="1"/>
    <col min="35" max="35" width="2" style="178" customWidth="1"/>
    <col min="36" max="36" width="8.5703125" style="178" customWidth="1"/>
    <col min="37" max="37" width="2.7109375" style="178" customWidth="1"/>
    <col min="38" max="38" width="2.7109375" style="178" hidden="1" customWidth="1"/>
    <col min="39" max="39" width="16" style="178" customWidth="1"/>
    <col min="40" max="40" width="1.140625" style="178" hidden="1" customWidth="1"/>
    <col min="41" max="41" width="23.7109375" style="178" bestFit="1" customWidth="1"/>
    <col min="42" max="42" width="10.5703125" style="178" bestFit="1" customWidth="1"/>
    <col min="43" max="43" width="7" style="264" bestFit="1" customWidth="1"/>
    <col min="44" max="45" width="5.85546875" style="171" bestFit="1" customWidth="1"/>
    <col min="46" max="46" width="5.85546875" style="172" bestFit="1" customWidth="1"/>
    <col min="47" max="47" width="4.140625" style="173" customWidth="1"/>
    <col min="48" max="48" width="12" style="171" bestFit="1" customWidth="1"/>
    <col min="49" max="49" width="12.140625" style="171" bestFit="1" customWidth="1"/>
    <col min="50" max="50" width="2.7109375" style="171"/>
    <col min="51" max="51" width="12.140625" style="174" bestFit="1" customWidth="1"/>
    <col min="52" max="52" width="5.85546875" style="174" bestFit="1" customWidth="1"/>
    <col min="53" max="53" width="12.140625" style="174" bestFit="1" customWidth="1"/>
    <col min="54" max="54" width="7.140625" style="175" bestFit="1" customWidth="1"/>
    <col min="55" max="55" width="7.140625" style="178" bestFit="1" customWidth="1"/>
    <col min="56" max="56" width="2.7109375" style="178"/>
    <col min="57" max="57" width="7.140625" style="178" bestFit="1" customWidth="1"/>
    <col min="58" max="58" width="5" style="178" bestFit="1" customWidth="1"/>
    <col min="59" max="16384" width="2.7109375" style="178"/>
  </cols>
  <sheetData>
    <row r="1" spans="1:53">
      <c r="A1" s="565"/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5"/>
      <c r="N1" s="565"/>
      <c r="O1" s="565"/>
      <c r="P1" s="565"/>
      <c r="Q1" s="565"/>
      <c r="R1" s="565"/>
      <c r="S1" s="565"/>
      <c r="T1" s="565"/>
      <c r="U1" s="565"/>
      <c r="V1" s="565"/>
      <c r="W1" s="565"/>
      <c r="X1" s="565"/>
      <c r="Y1" s="565"/>
      <c r="Z1" s="565"/>
      <c r="AA1" s="565"/>
      <c r="AB1" s="565"/>
      <c r="AC1" s="565"/>
      <c r="AD1" s="565"/>
      <c r="AE1" s="565"/>
      <c r="AF1" s="565"/>
      <c r="AG1" s="565"/>
      <c r="AH1" s="565"/>
      <c r="AI1" s="565"/>
      <c r="AJ1" s="565"/>
      <c r="AK1" s="565"/>
      <c r="AL1" s="565"/>
      <c r="AM1" s="565"/>
      <c r="AN1" s="565"/>
      <c r="AO1" s="565"/>
      <c r="AP1" s="565"/>
      <c r="AQ1" s="565"/>
      <c r="AR1" s="565"/>
    </row>
    <row r="2" spans="1:53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AE2" s="176"/>
      <c r="AF2" s="176"/>
      <c r="AG2" s="176"/>
      <c r="AH2" s="176"/>
      <c r="AI2" s="176"/>
      <c r="AJ2" s="176"/>
      <c r="AK2" s="176" t="s">
        <v>80</v>
      </c>
      <c r="AL2" s="176"/>
      <c r="AM2" s="176"/>
      <c r="AN2" s="176"/>
      <c r="AO2" s="176"/>
      <c r="AP2" s="176"/>
      <c r="AQ2" s="265"/>
      <c r="AR2" s="179"/>
    </row>
    <row r="3" spans="1:53">
      <c r="A3" s="176"/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AE3" s="176"/>
      <c r="AF3" s="176"/>
      <c r="AG3" s="176"/>
      <c r="AH3" s="176"/>
      <c r="AI3" s="176"/>
      <c r="AJ3" s="176"/>
      <c r="AK3" s="176" t="s">
        <v>81</v>
      </c>
      <c r="AL3" s="176"/>
      <c r="AM3" s="176"/>
      <c r="AN3" s="176"/>
      <c r="AO3" s="176"/>
      <c r="AP3" s="176"/>
      <c r="AQ3" s="265"/>
      <c r="AR3" s="179"/>
    </row>
    <row r="4" spans="1:53" ht="3.95" customHeight="1">
      <c r="A4" s="566"/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6"/>
      <c r="P4" s="566"/>
      <c r="Q4" s="566"/>
      <c r="R4" s="566"/>
      <c r="S4" s="566"/>
      <c r="T4" s="566"/>
      <c r="U4" s="566"/>
      <c r="V4" s="566"/>
      <c r="W4" s="566"/>
      <c r="X4" s="566"/>
      <c r="Y4" s="566"/>
      <c r="Z4" s="566"/>
      <c r="AA4" s="566"/>
      <c r="AB4" s="566"/>
      <c r="AC4" s="566"/>
      <c r="AD4" s="566"/>
      <c r="AE4" s="566"/>
      <c r="AF4" s="566"/>
      <c r="AG4" s="566"/>
      <c r="AH4" s="566"/>
      <c r="AI4" s="566"/>
      <c r="AJ4" s="566"/>
      <c r="AK4" s="566"/>
      <c r="AL4" s="566"/>
      <c r="AM4" s="566"/>
      <c r="AN4" s="566"/>
      <c r="AO4" s="566"/>
      <c r="AP4" s="566"/>
      <c r="AQ4" s="566"/>
      <c r="AR4" s="566"/>
    </row>
    <row r="5" spans="1:53">
      <c r="Y5" s="178"/>
      <c r="Z5" s="178"/>
      <c r="AA5" s="178"/>
      <c r="AE5" s="180"/>
      <c r="AF5" s="567" t="s">
        <v>82</v>
      </c>
      <c r="AG5" s="567"/>
      <c r="AH5" s="567"/>
      <c r="AI5" s="567"/>
      <c r="AJ5" s="567"/>
    </row>
    <row r="6" spans="1:53">
      <c r="Y6" s="178"/>
      <c r="Z6" s="178"/>
      <c r="AA6" s="178"/>
      <c r="AD6" s="178" t="s">
        <v>83</v>
      </c>
      <c r="AE6" s="180"/>
      <c r="AF6" s="567" t="s">
        <v>84</v>
      </c>
      <c r="AG6" s="567"/>
      <c r="AH6" s="567"/>
      <c r="AI6" s="567"/>
      <c r="AJ6" s="567"/>
    </row>
    <row r="7" spans="1:53" ht="18">
      <c r="A7" s="568" t="s">
        <v>85</v>
      </c>
      <c r="B7" s="568"/>
      <c r="C7" s="568"/>
      <c r="D7" s="568"/>
      <c r="E7" s="568"/>
      <c r="F7" s="568"/>
      <c r="G7" s="568"/>
      <c r="H7" s="568"/>
      <c r="I7" s="568"/>
      <c r="J7" s="568"/>
      <c r="K7" s="568"/>
      <c r="L7" s="568"/>
      <c r="M7" s="568"/>
      <c r="N7" s="568"/>
      <c r="O7" s="568"/>
      <c r="P7" s="568"/>
      <c r="Q7" s="568"/>
      <c r="R7" s="568"/>
      <c r="S7" s="568"/>
      <c r="T7" s="568"/>
      <c r="U7" s="568"/>
      <c r="V7" s="568"/>
      <c r="W7" s="568"/>
      <c r="X7" s="568"/>
      <c r="Y7" s="568"/>
      <c r="Z7" s="568"/>
      <c r="AA7" s="568"/>
      <c r="AB7" s="568"/>
      <c r="AC7" s="568"/>
      <c r="AD7" s="181"/>
      <c r="AE7" s="182" t="s">
        <v>86</v>
      </c>
      <c r="AF7" s="567"/>
      <c r="AG7" s="567"/>
      <c r="AH7" s="567"/>
      <c r="AI7" s="567"/>
      <c r="AJ7" s="567"/>
      <c r="AK7" s="183"/>
      <c r="AL7" s="183"/>
      <c r="AM7" s="184"/>
    </row>
    <row r="8" spans="1:53">
      <c r="A8" s="550" t="s">
        <v>87</v>
      </c>
      <c r="B8" s="550"/>
      <c r="C8" s="550"/>
      <c r="D8" s="550"/>
      <c r="E8" s="550"/>
      <c r="F8" s="550"/>
      <c r="G8" s="550"/>
      <c r="H8" s="550"/>
      <c r="I8" s="550"/>
      <c r="J8" s="550"/>
      <c r="K8" s="550"/>
      <c r="L8" s="550"/>
      <c r="M8" s="550"/>
      <c r="N8" s="550"/>
      <c r="O8" s="550"/>
      <c r="P8" s="550"/>
      <c r="Q8" s="550"/>
      <c r="R8" s="550"/>
      <c r="S8" s="550"/>
      <c r="T8" s="550"/>
      <c r="U8" s="550"/>
      <c r="V8" s="550"/>
      <c r="W8" s="550"/>
      <c r="X8" s="550"/>
      <c r="Y8" s="550"/>
      <c r="Z8" s="550"/>
      <c r="AA8" s="550"/>
      <c r="AB8" s="550"/>
      <c r="AC8" s="550"/>
      <c r="AD8" s="550"/>
      <c r="AE8" s="550"/>
      <c r="AF8" s="550"/>
      <c r="AG8" s="550"/>
      <c r="AH8" s="550"/>
      <c r="AI8" s="550"/>
      <c r="AJ8" s="550"/>
      <c r="AK8" s="550"/>
      <c r="AL8" s="550"/>
      <c r="AM8" s="550"/>
      <c r="AN8" s="551"/>
      <c r="AO8" s="551"/>
      <c r="AP8" s="551"/>
      <c r="AQ8" s="551"/>
      <c r="AR8" s="551"/>
    </row>
    <row r="9" spans="1:53" ht="27" customHeight="1">
      <c r="A9" s="551"/>
      <c r="B9" s="551"/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1"/>
      <c r="N9" s="551"/>
      <c r="O9" s="551"/>
      <c r="P9" s="552" t="s">
        <v>88</v>
      </c>
      <c r="Q9" s="552"/>
      <c r="R9" s="552"/>
      <c r="S9" s="552"/>
      <c r="T9" s="552"/>
      <c r="U9" s="552" t="s">
        <v>89</v>
      </c>
      <c r="V9" s="552"/>
      <c r="W9" s="552"/>
      <c r="X9" s="552"/>
      <c r="Y9" s="552"/>
      <c r="Z9" s="552"/>
      <c r="AA9" s="552"/>
      <c r="AB9" s="552"/>
      <c r="AC9" s="553"/>
      <c r="AD9" s="551"/>
      <c r="AE9" s="551"/>
      <c r="AF9" s="551"/>
      <c r="AG9" s="551"/>
      <c r="AH9" s="551"/>
      <c r="AI9" s="551"/>
      <c r="AJ9" s="551"/>
      <c r="AK9" s="551"/>
      <c r="AL9" s="551"/>
      <c r="AM9" s="551"/>
      <c r="AN9" s="551"/>
      <c r="AO9" s="551"/>
      <c r="AP9" s="551"/>
      <c r="AQ9" s="551"/>
      <c r="AR9" s="551"/>
    </row>
    <row r="10" spans="1:53" ht="15">
      <c r="A10" s="572" t="s">
        <v>90</v>
      </c>
      <c r="B10" s="572"/>
      <c r="C10" s="572"/>
      <c r="D10" s="572"/>
      <c r="E10" s="572"/>
      <c r="F10" s="572"/>
      <c r="G10" s="572"/>
      <c r="H10" s="572"/>
      <c r="I10" s="572"/>
      <c r="J10" s="572"/>
      <c r="K10" s="572"/>
      <c r="L10" s="572"/>
      <c r="M10" s="572"/>
      <c r="N10" s="572"/>
      <c r="O10" s="573"/>
      <c r="P10" s="552"/>
      <c r="Q10" s="552"/>
      <c r="R10" s="552"/>
      <c r="S10" s="552"/>
      <c r="T10" s="552"/>
      <c r="U10" s="552"/>
      <c r="V10" s="552"/>
      <c r="W10" s="552"/>
      <c r="X10" s="552"/>
      <c r="Y10" s="552"/>
      <c r="Z10" s="552"/>
      <c r="AA10" s="552"/>
      <c r="AB10" s="552"/>
      <c r="AC10" s="574" t="s">
        <v>91</v>
      </c>
      <c r="AD10" s="575"/>
      <c r="AE10" s="575"/>
      <c r="AF10" s="575"/>
      <c r="AG10" s="575"/>
      <c r="AH10" s="575"/>
      <c r="AI10" s="575"/>
      <c r="AJ10" s="575"/>
      <c r="AK10" s="575"/>
      <c r="AL10" s="575"/>
      <c r="AM10" s="575"/>
      <c r="AN10" s="575"/>
      <c r="AO10" s="575"/>
      <c r="AP10" s="575"/>
      <c r="AQ10" s="575"/>
      <c r="AR10" s="575"/>
    </row>
    <row r="11" spans="1:53" ht="12.75" customHeight="1">
      <c r="B11" s="185"/>
      <c r="C11" s="185"/>
      <c r="D11" s="185"/>
      <c r="E11" s="576" t="s">
        <v>92</v>
      </c>
      <c r="F11" s="576"/>
      <c r="G11" s="576"/>
      <c r="H11" s="186"/>
      <c r="I11" s="187"/>
      <c r="J11" s="577"/>
      <c r="K11" s="577"/>
      <c r="L11" s="577"/>
      <c r="M11" s="577"/>
      <c r="N11" s="187"/>
      <c r="O11" s="187"/>
      <c r="P11" s="578" t="s">
        <v>93</v>
      </c>
      <c r="Q11" s="578"/>
      <c r="R11" s="579"/>
      <c r="S11" s="579"/>
      <c r="T11" s="579"/>
      <c r="U11" s="579"/>
      <c r="V11" s="579"/>
      <c r="W11" s="579"/>
      <c r="X11" s="579"/>
      <c r="Y11" s="579"/>
      <c r="Z11" s="579"/>
      <c r="AA11" s="579"/>
      <c r="AB11" s="579"/>
      <c r="AC11" s="579"/>
      <c r="AD11" s="579"/>
      <c r="AE11" s="579"/>
      <c r="AF11" s="579"/>
      <c r="AG11" s="579"/>
      <c r="AH11" s="579"/>
      <c r="AI11" s="579"/>
      <c r="AJ11" s="579"/>
      <c r="AK11" s="579"/>
      <c r="AL11" s="579"/>
      <c r="AM11" s="579"/>
      <c r="AN11" s="579"/>
      <c r="AO11" s="579"/>
      <c r="AP11" s="579"/>
      <c r="AQ11" s="579"/>
      <c r="AR11" s="579"/>
    </row>
    <row r="12" spans="1:53" ht="12.75" customHeight="1">
      <c r="A12" s="569" t="s">
        <v>94</v>
      </c>
      <c r="B12" s="569"/>
      <c r="C12" s="569"/>
      <c r="D12" s="569"/>
      <c r="E12" s="569"/>
      <c r="F12" s="569"/>
      <c r="G12" s="569"/>
      <c r="H12" s="569"/>
      <c r="I12" s="569"/>
      <c r="J12" s="569"/>
      <c r="K12" s="569"/>
      <c r="L12" s="569"/>
      <c r="M12" s="569"/>
      <c r="N12" s="569"/>
      <c r="O12" s="569"/>
      <c r="P12" s="569"/>
      <c r="Q12" s="569"/>
      <c r="R12" s="569"/>
      <c r="S12" s="569"/>
      <c r="T12" s="569"/>
      <c r="U12" s="569"/>
      <c r="V12" s="569"/>
      <c r="W12" s="569"/>
      <c r="X12" s="569"/>
      <c r="Y12" s="569"/>
      <c r="Z12" s="569"/>
      <c r="AA12" s="569"/>
      <c r="AB12" s="569"/>
      <c r="AC12" s="569"/>
      <c r="AD12" s="569"/>
      <c r="AE12" s="569"/>
      <c r="AF12" s="570" t="s">
        <v>95</v>
      </c>
      <c r="AG12" s="570"/>
      <c r="AH12" s="570"/>
      <c r="AI12" s="570"/>
      <c r="AJ12" s="570"/>
      <c r="AK12" s="570"/>
      <c r="AL12" s="570"/>
      <c r="AM12" s="570"/>
      <c r="AN12" s="570"/>
      <c r="AO12" s="571"/>
      <c r="AP12" s="571"/>
      <c r="AQ12" s="263"/>
      <c r="AR12" s="188"/>
    </row>
    <row r="13" spans="1:53" ht="13.5" customHeight="1">
      <c r="A13" s="554"/>
      <c r="B13" s="554"/>
      <c r="C13" s="554"/>
      <c r="D13" s="554"/>
      <c r="E13" s="554"/>
      <c r="F13" s="554"/>
      <c r="G13" s="554"/>
      <c r="H13" s="554"/>
      <c r="I13" s="554"/>
      <c r="J13" s="554"/>
      <c r="K13" s="554"/>
      <c r="L13" s="554"/>
      <c r="M13" s="554"/>
      <c r="N13" s="554"/>
      <c r="O13" s="554"/>
      <c r="P13" s="554"/>
      <c r="Q13" s="554"/>
      <c r="R13" s="554"/>
      <c r="S13" s="554"/>
      <c r="T13" s="554"/>
      <c r="U13" s="554"/>
      <c r="V13" s="554"/>
      <c r="W13" s="554"/>
      <c r="X13" s="554"/>
      <c r="Y13" s="554"/>
      <c r="Z13" s="554"/>
      <c r="AA13" s="554"/>
      <c r="AB13" s="554"/>
      <c r="AC13" s="554"/>
      <c r="AD13" s="554"/>
      <c r="AE13" s="554"/>
      <c r="AF13" s="554"/>
      <c r="AG13" s="554"/>
      <c r="AH13" s="554"/>
      <c r="AI13" s="554"/>
      <c r="AJ13" s="554"/>
      <c r="AK13" s="554"/>
      <c r="AL13" s="554"/>
      <c r="AM13" s="554"/>
      <c r="AN13" s="554"/>
      <c r="AO13" s="554"/>
      <c r="AP13" s="554"/>
      <c r="AQ13" s="554"/>
      <c r="AR13" s="554"/>
      <c r="AY13" s="171"/>
      <c r="AZ13" s="171"/>
      <c r="BA13" s="171"/>
    </row>
    <row r="14" spans="1:53" ht="12.75">
      <c r="A14" s="555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5"/>
      <c r="O14" s="555"/>
      <c r="P14" s="555"/>
      <c r="Q14" s="555"/>
      <c r="R14" s="555"/>
      <c r="S14" s="555"/>
      <c r="T14" s="555"/>
      <c r="U14" s="555"/>
      <c r="V14" s="555"/>
      <c r="W14" s="555"/>
      <c r="X14" s="555"/>
      <c r="Y14" s="555"/>
      <c r="Z14" s="555"/>
      <c r="AA14" s="555"/>
      <c r="AB14" s="555"/>
      <c r="AC14" s="189" t="s">
        <v>96</v>
      </c>
      <c r="AD14" s="189"/>
      <c r="AE14" s="189"/>
      <c r="AF14" s="556">
        <f>Y96</f>
        <v>72</v>
      </c>
      <c r="AG14" s="556"/>
      <c r="AH14" s="189" t="s">
        <v>97</v>
      </c>
      <c r="AI14" s="189"/>
      <c r="AJ14" s="190"/>
      <c r="AK14" s="190"/>
      <c r="AL14" s="190"/>
      <c r="AM14" s="190"/>
      <c r="AN14" s="190"/>
      <c r="AO14" s="190"/>
      <c r="AP14" s="190"/>
      <c r="AQ14" s="190"/>
      <c r="AR14" s="191"/>
      <c r="AY14" s="171"/>
      <c r="AZ14" s="171"/>
      <c r="BA14" s="171"/>
    </row>
    <row r="15" spans="1:53" ht="12.75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  <c r="X15" s="189"/>
      <c r="Y15" s="192"/>
      <c r="Z15" s="192"/>
      <c r="AA15" s="192"/>
      <c r="AB15" s="189"/>
      <c r="AC15" s="189" t="s">
        <v>98</v>
      </c>
      <c r="AD15" s="189"/>
      <c r="AE15" s="189"/>
      <c r="AF15" s="189"/>
      <c r="AG15" s="189"/>
      <c r="AH15" s="189"/>
      <c r="AI15" s="580">
        <f>AF96</f>
        <v>5253600</v>
      </c>
      <c r="AJ15" s="580"/>
      <c r="AK15" s="580"/>
      <c r="AL15" s="193"/>
      <c r="AM15" s="193" t="s">
        <v>99</v>
      </c>
      <c r="AN15" s="193"/>
      <c r="AO15" s="194"/>
      <c r="AP15" s="195"/>
      <c r="AQ15" s="195"/>
      <c r="AR15" s="196"/>
      <c r="AY15" s="171"/>
      <c r="AZ15" s="171"/>
      <c r="BA15" s="171"/>
    </row>
    <row r="16" spans="1:53" ht="19.5" customHeight="1" thickBot="1">
      <c r="A16" s="581"/>
      <c r="B16" s="581"/>
      <c r="C16" s="581"/>
      <c r="D16" s="581"/>
      <c r="E16" s="581"/>
      <c r="F16" s="581"/>
      <c r="G16" s="581"/>
      <c r="H16" s="581"/>
      <c r="I16" s="581"/>
      <c r="J16" s="581"/>
      <c r="K16" s="581"/>
      <c r="L16" s="581"/>
      <c r="M16" s="581"/>
      <c r="N16" s="581"/>
      <c r="O16" s="581"/>
      <c r="P16" s="581"/>
      <c r="Q16" s="581"/>
      <c r="R16" s="581"/>
      <c r="S16" s="581"/>
      <c r="T16" s="581"/>
      <c r="U16" s="581"/>
      <c r="V16" s="581"/>
      <c r="W16" s="581"/>
      <c r="X16" s="581"/>
      <c r="Y16" s="581"/>
      <c r="Z16" s="581"/>
      <c r="AA16" s="581"/>
      <c r="AB16" s="581"/>
      <c r="AC16" s="581"/>
      <c r="AD16" s="581"/>
      <c r="AE16" s="581"/>
      <c r="AF16" s="581"/>
      <c r="AG16" s="581"/>
      <c r="AH16" s="581"/>
      <c r="AI16" s="581"/>
      <c r="AJ16" s="581"/>
      <c r="AK16" s="581"/>
      <c r="AL16" s="581"/>
      <c r="AM16" s="581"/>
      <c r="AN16" s="581"/>
      <c r="AO16" s="581"/>
      <c r="AP16" s="581"/>
      <c r="AQ16" s="581"/>
      <c r="AR16" s="581"/>
      <c r="AS16" s="174"/>
      <c r="AY16" s="171"/>
      <c r="AZ16" s="171"/>
      <c r="BA16" s="171"/>
    </row>
    <row r="17" spans="1:58" ht="51" customHeight="1">
      <c r="A17" s="582" t="s">
        <v>100</v>
      </c>
      <c r="B17" s="583"/>
      <c r="C17" s="583"/>
      <c r="D17" s="583"/>
      <c r="E17" s="583"/>
      <c r="F17" s="583"/>
      <c r="G17" s="583"/>
      <c r="H17" s="583"/>
      <c r="I17" s="583"/>
      <c r="J17" s="583"/>
      <c r="K17" s="583" t="s">
        <v>101</v>
      </c>
      <c r="L17" s="583"/>
      <c r="M17" s="583"/>
      <c r="N17" s="583"/>
      <c r="O17" s="583"/>
      <c r="P17" s="583"/>
      <c r="Q17" s="583"/>
      <c r="R17" s="583"/>
      <c r="S17" s="583"/>
      <c r="T17" s="583"/>
      <c r="U17" s="583"/>
      <c r="V17" s="583"/>
      <c r="W17" s="583"/>
      <c r="X17" s="583"/>
      <c r="Y17" s="583" t="s">
        <v>102</v>
      </c>
      <c r="Z17" s="583"/>
      <c r="AA17" s="583"/>
      <c r="AB17" s="584" t="s">
        <v>103</v>
      </c>
      <c r="AC17" s="585"/>
      <c r="AD17" s="588" t="s">
        <v>104</v>
      </c>
      <c r="AE17" s="589"/>
      <c r="AF17" s="584" t="s">
        <v>105</v>
      </c>
      <c r="AG17" s="590"/>
      <c r="AH17" s="585"/>
      <c r="AI17" s="583" t="s">
        <v>106</v>
      </c>
      <c r="AJ17" s="583"/>
      <c r="AK17" s="583"/>
      <c r="AL17" s="583"/>
      <c r="AM17" s="592"/>
      <c r="AN17" s="178" t="s">
        <v>107</v>
      </c>
      <c r="AR17" s="830" t="s">
        <v>195</v>
      </c>
      <c r="AS17" s="830" t="s">
        <v>196</v>
      </c>
      <c r="AT17" s="830" t="s">
        <v>197</v>
      </c>
      <c r="AU17" s="171"/>
      <c r="AY17" s="171"/>
      <c r="AZ17" s="171"/>
      <c r="BA17" s="171"/>
    </row>
    <row r="18" spans="1:58" ht="12" customHeight="1" thickBot="1">
      <c r="A18" s="594" t="s">
        <v>108</v>
      </c>
      <c r="B18" s="557"/>
      <c r="C18" s="557"/>
      <c r="D18" s="557"/>
      <c r="E18" s="557"/>
      <c r="F18" s="557"/>
      <c r="G18" s="557"/>
      <c r="H18" s="557" t="s">
        <v>109</v>
      </c>
      <c r="I18" s="557"/>
      <c r="J18" s="557"/>
      <c r="K18" s="557"/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7"/>
      <c r="W18" s="557"/>
      <c r="X18" s="557"/>
      <c r="Y18" s="557"/>
      <c r="Z18" s="557"/>
      <c r="AA18" s="557"/>
      <c r="AB18" s="586"/>
      <c r="AC18" s="587"/>
      <c r="AD18" s="558" t="s">
        <v>110</v>
      </c>
      <c r="AE18" s="559"/>
      <c r="AF18" s="586"/>
      <c r="AG18" s="591"/>
      <c r="AH18" s="587"/>
      <c r="AI18" s="557"/>
      <c r="AJ18" s="557"/>
      <c r="AK18" s="557"/>
      <c r="AL18" s="557"/>
      <c r="AM18" s="593"/>
      <c r="AR18" s="830"/>
      <c r="AS18" s="830"/>
      <c r="AT18" s="830"/>
      <c r="AU18" s="171"/>
      <c r="AY18" s="171"/>
      <c r="AZ18" s="171"/>
      <c r="BA18" s="171"/>
    </row>
    <row r="19" spans="1:58" ht="12.75" customHeight="1" thickBot="1">
      <c r="A19" s="560" t="s">
        <v>111</v>
      </c>
      <c r="B19" s="561"/>
      <c r="C19" s="561"/>
      <c r="D19" s="561"/>
      <c r="E19" s="561"/>
      <c r="F19" s="561"/>
      <c r="G19" s="561"/>
      <c r="H19" s="561" t="s">
        <v>112</v>
      </c>
      <c r="I19" s="561"/>
      <c r="J19" s="561"/>
      <c r="K19" s="561" t="s">
        <v>113</v>
      </c>
      <c r="L19" s="561"/>
      <c r="M19" s="561"/>
      <c r="N19" s="561"/>
      <c r="O19" s="561"/>
      <c r="P19" s="561"/>
      <c r="Q19" s="561"/>
      <c r="R19" s="561"/>
      <c r="S19" s="561"/>
      <c r="T19" s="561"/>
      <c r="U19" s="561"/>
      <c r="V19" s="561"/>
      <c r="W19" s="561"/>
      <c r="X19" s="561"/>
      <c r="Y19" s="561" t="s">
        <v>114</v>
      </c>
      <c r="Z19" s="561"/>
      <c r="AA19" s="561"/>
      <c r="AB19" s="562" t="s">
        <v>115</v>
      </c>
      <c r="AC19" s="563"/>
      <c r="AD19" s="562" t="s">
        <v>116</v>
      </c>
      <c r="AE19" s="564"/>
      <c r="AF19" s="562" t="s">
        <v>117</v>
      </c>
      <c r="AG19" s="564"/>
      <c r="AH19" s="563"/>
      <c r="AI19" s="561" t="s">
        <v>118</v>
      </c>
      <c r="AJ19" s="561"/>
      <c r="AK19" s="561"/>
      <c r="AL19" s="561"/>
      <c r="AM19" s="605"/>
      <c r="AO19" s="177" t="s">
        <v>199</v>
      </c>
      <c r="AP19" s="177" t="s">
        <v>57</v>
      </c>
      <c r="AQ19" s="177" t="s">
        <v>200</v>
      </c>
      <c r="AR19" s="830"/>
      <c r="AS19" s="830"/>
      <c r="AT19" s="830"/>
      <c r="AU19" s="198"/>
      <c r="AV19" s="374" t="s">
        <v>203</v>
      </c>
      <c r="AW19" s="374" t="s">
        <v>202</v>
      </c>
      <c r="AY19" s="171" t="s">
        <v>205</v>
      </c>
      <c r="AZ19" s="171"/>
      <c r="BA19" s="171"/>
    </row>
    <row r="20" spans="1:58" s="202" customFormat="1" ht="12.75" customHeight="1">
      <c r="A20" s="468" t="s">
        <v>119</v>
      </c>
      <c r="B20" s="469"/>
      <c r="C20" s="469"/>
      <c r="D20" s="469"/>
      <c r="E20" s="469"/>
      <c r="F20" s="469"/>
      <c r="G20" s="470"/>
      <c r="H20" s="477" t="s">
        <v>120</v>
      </c>
      <c r="I20" s="478"/>
      <c r="J20" s="479"/>
      <c r="K20" s="606" t="s">
        <v>121</v>
      </c>
      <c r="L20" s="606"/>
      <c r="M20" s="606"/>
      <c r="N20" s="606"/>
      <c r="O20" s="606"/>
      <c r="P20" s="606"/>
      <c r="Q20" s="606"/>
      <c r="R20" s="606"/>
      <c r="S20" s="606"/>
      <c r="T20" s="606"/>
      <c r="U20" s="606"/>
      <c r="V20" s="606"/>
      <c r="W20" s="606"/>
      <c r="X20" s="606"/>
      <c r="Y20" s="607">
        <v>1</v>
      </c>
      <c r="Z20" s="607"/>
      <c r="AA20" s="607"/>
      <c r="AB20" s="597">
        <v>160000</v>
      </c>
      <c r="AC20" s="598"/>
      <c r="AD20" s="608">
        <f>PRODUCT(AB20,1/10)</f>
        <v>16000</v>
      </c>
      <c r="AE20" s="609"/>
      <c r="AF20" s="608">
        <f t="shared" ref="AF20:AF79" si="0">SUM(AB20,AD20)</f>
        <v>176000</v>
      </c>
      <c r="AG20" s="609"/>
      <c r="AH20" s="610"/>
      <c r="AI20" s="611" t="s">
        <v>22</v>
      </c>
      <c r="AJ20" s="612"/>
      <c r="AK20" s="612"/>
      <c r="AL20" s="612"/>
      <c r="AM20" s="613"/>
      <c r="AN20" s="199"/>
      <c r="AO20" s="338"/>
      <c r="AP20" s="383">
        <f>AF20*AQ20</f>
        <v>88000</v>
      </c>
      <c r="AQ20" s="321">
        <v>0.5</v>
      </c>
      <c r="AR20" s="332">
        <v>1</v>
      </c>
      <c r="AS20" s="333"/>
      <c r="AT20" s="334">
        <v>1</v>
      </c>
      <c r="AU20" s="335"/>
      <c r="AV20" s="336">
        <f>IF(AR20=1,AR20-AQ20,IF(AS20=1,0.5-AQ20,IF(AT20=1,0.5-AQ20,0)))</f>
        <v>0.5</v>
      </c>
      <c r="AW20" s="337">
        <f>AF20*AV20</f>
        <v>88000</v>
      </c>
      <c r="AX20" s="171"/>
      <c r="AY20" s="171" t="s">
        <v>204</v>
      </c>
      <c r="AZ20" s="210">
        <v>1</v>
      </c>
      <c r="BA20" s="210">
        <f>AF20*AZ20</f>
        <v>176000</v>
      </c>
      <c r="BB20" s="386" t="s">
        <v>215</v>
      </c>
      <c r="BC20" s="386"/>
      <c r="BD20" s="386"/>
      <c r="BE20" s="386"/>
      <c r="BF20" s="386"/>
    </row>
    <row r="21" spans="1:58" s="202" customFormat="1" ht="12.75" customHeight="1">
      <c r="A21" s="471"/>
      <c r="B21" s="472"/>
      <c r="C21" s="472"/>
      <c r="D21" s="472"/>
      <c r="E21" s="472"/>
      <c r="F21" s="472"/>
      <c r="G21" s="473"/>
      <c r="H21" s="480"/>
      <c r="I21" s="481"/>
      <c r="J21" s="482"/>
      <c r="K21" s="595" t="s">
        <v>122</v>
      </c>
      <c r="L21" s="595"/>
      <c r="M21" s="595"/>
      <c r="N21" s="595"/>
      <c r="O21" s="595"/>
      <c r="P21" s="595"/>
      <c r="Q21" s="595"/>
      <c r="R21" s="595"/>
      <c r="S21" s="595"/>
      <c r="T21" s="595"/>
      <c r="U21" s="595"/>
      <c r="V21" s="595"/>
      <c r="W21" s="595"/>
      <c r="X21" s="595"/>
      <c r="Y21" s="596">
        <v>1</v>
      </c>
      <c r="Z21" s="596"/>
      <c r="AA21" s="596"/>
      <c r="AB21" s="597">
        <v>150000</v>
      </c>
      <c r="AC21" s="598"/>
      <c r="AD21" s="599">
        <f>PRODUCT(AB21,1/10)</f>
        <v>15000</v>
      </c>
      <c r="AE21" s="600"/>
      <c r="AF21" s="599">
        <f t="shared" si="0"/>
        <v>165000</v>
      </c>
      <c r="AG21" s="600"/>
      <c r="AH21" s="601"/>
      <c r="AI21" s="602" t="s">
        <v>19</v>
      </c>
      <c r="AJ21" s="603"/>
      <c r="AK21" s="603"/>
      <c r="AL21" s="603"/>
      <c r="AM21" s="604"/>
      <c r="AN21" s="199"/>
      <c r="AO21" s="251"/>
      <c r="AP21" s="250">
        <f t="shared" ref="AP21:AP75" si="1">AF21*AQ21</f>
        <v>82500</v>
      </c>
      <c r="AQ21" s="276">
        <v>0.5</v>
      </c>
      <c r="AR21" s="257">
        <v>1</v>
      </c>
      <c r="AS21" s="258"/>
      <c r="AT21" s="260">
        <v>1</v>
      </c>
      <c r="AU21" s="200"/>
      <c r="AV21" s="281">
        <f t="shared" ref="AV21:AV39" si="2">IF(AR21=1,AR21-AQ21,IF(AS21=1,0.5-AQ21,IF(AT21=1,0.5-AQ21,0)))</f>
        <v>0.5</v>
      </c>
      <c r="AW21" s="282">
        <f t="shared" ref="AW21:AW75" si="3">AF21*AV21</f>
        <v>82500</v>
      </c>
      <c r="AX21" s="171"/>
      <c r="AY21" s="171" t="s">
        <v>204</v>
      </c>
      <c r="AZ21" s="210">
        <v>1</v>
      </c>
      <c r="BA21" s="210">
        <f>AF21*AZ21</f>
        <v>165000</v>
      </c>
      <c r="BB21" s="386" t="s">
        <v>215</v>
      </c>
      <c r="BC21" s="386"/>
      <c r="BD21" s="386"/>
      <c r="BE21" s="386"/>
      <c r="BF21" s="386"/>
    </row>
    <row r="22" spans="1:58" s="202" customFormat="1" ht="15" customHeight="1">
      <c r="A22" s="471"/>
      <c r="B22" s="472"/>
      <c r="C22" s="472"/>
      <c r="D22" s="472"/>
      <c r="E22" s="472"/>
      <c r="F22" s="472"/>
      <c r="G22" s="473"/>
      <c r="H22" s="480"/>
      <c r="I22" s="481"/>
      <c r="J22" s="482"/>
      <c r="K22" s="614" t="s">
        <v>123</v>
      </c>
      <c r="L22" s="614"/>
      <c r="M22" s="614"/>
      <c r="N22" s="614"/>
      <c r="O22" s="614"/>
      <c r="P22" s="614"/>
      <c r="Q22" s="614"/>
      <c r="R22" s="614"/>
      <c r="S22" s="614"/>
      <c r="T22" s="614"/>
      <c r="U22" s="614"/>
      <c r="V22" s="614"/>
      <c r="W22" s="614"/>
      <c r="X22" s="614"/>
      <c r="Y22" s="596">
        <v>1</v>
      </c>
      <c r="Z22" s="596"/>
      <c r="AA22" s="596"/>
      <c r="AB22" s="599">
        <v>110000</v>
      </c>
      <c r="AC22" s="601"/>
      <c r="AD22" s="599">
        <f>PRODUCT(AB22,1/10)</f>
        <v>11000</v>
      </c>
      <c r="AE22" s="600"/>
      <c r="AF22" s="599">
        <f>SUM(AB22,AD22)</f>
        <v>121000</v>
      </c>
      <c r="AG22" s="600"/>
      <c r="AH22" s="601"/>
      <c r="AI22" s="618"/>
      <c r="AJ22" s="619"/>
      <c r="AK22" s="619"/>
      <c r="AL22" s="619"/>
      <c r="AM22" s="620"/>
      <c r="AN22" s="199"/>
      <c r="AO22" s="251"/>
      <c r="AP22" s="250">
        <f t="shared" si="1"/>
        <v>0</v>
      </c>
      <c r="AQ22" s="276"/>
      <c r="AR22" s="257"/>
      <c r="AS22" s="258"/>
      <c r="AT22" s="260"/>
      <c r="AU22" s="200"/>
      <c r="AV22" s="281">
        <f t="shared" si="2"/>
        <v>0</v>
      </c>
      <c r="AW22" s="282">
        <f t="shared" si="3"/>
        <v>0</v>
      </c>
      <c r="AX22" s="171"/>
      <c r="AY22" s="171"/>
      <c r="AZ22" s="210"/>
      <c r="BA22" s="171"/>
      <c r="BB22" s="201"/>
    </row>
    <row r="23" spans="1:58" s="202" customFormat="1" ht="15" customHeight="1">
      <c r="A23" s="471"/>
      <c r="B23" s="472"/>
      <c r="C23" s="472"/>
      <c r="D23" s="472"/>
      <c r="E23" s="472"/>
      <c r="F23" s="472"/>
      <c r="G23" s="473"/>
      <c r="H23" s="480"/>
      <c r="I23" s="481"/>
      <c r="J23" s="482"/>
      <c r="K23" s="614" t="s">
        <v>124</v>
      </c>
      <c r="L23" s="614"/>
      <c r="M23" s="614"/>
      <c r="N23" s="614"/>
      <c r="O23" s="614"/>
      <c r="P23" s="614"/>
      <c r="Q23" s="614"/>
      <c r="R23" s="614"/>
      <c r="S23" s="614"/>
      <c r="T23" s="614"/>
      <c r="U23" s="614"/>
      <c r="V23" s="614"/>
      <c r="W23" s="614"/>
      <c r="X23" s="203"/>
      <c r="Y23" s="615">
        <v>1</v>
      </c>
      <c r="Z23" s="616"/>
      <c r="AA23" s="617"/>
      <c r="AB23" s="597">
        <v>140000</v>
      </c>
      <c r="AC23" s="598"/>
      <c r="AD23" s="599"/>
      <c r="AE23" s="600"/>
      <c r="AF23" s="599">
        <f t="shared" si="0"/>
        <v>140000</v>
      </c>
      <c r="AG23" s="600"/>
      <c r="AH23" s="601"/>
      <c r="AI23" s="611"/>
      <c r="AJ23" s="612"/>
      <c r="AK23" s="612"/>
      <c r="AL23" s="612"/>
      <c r="AM23" s="613"/>
      <c r="AN23" s="199"/>
      <c r="AO23" s="249"/>
      <c r="AP23" s="250">
        <f t="shared" si="1"/>
        <v>0</v>
      </c>
      <c r="AQ23" s="276"/>
      <c r="AR23" s="259"/>
      <c r="AS23" s="259"/>
      <c r="AT23" s="259"/>
      <c r="AU23" s="200"/>
      <c r="AV23" s="281">
        <f t="shared" si="2"/>
        <v>0</v>
      </c>
      <c r="AW23" s="282">
        <f t="shared" si="3"/>
        <v>0</v>
      </c>
      <c r="AX23" s="171"/>
      <c r="AY23" s="171"/>
      <c r="AZ23" s="210"/>
      <c r="BA23" s="171"/>
      <c r="BB23" s="201"/>
    </row>
    <row r="24" spans="1:58" s="202" customFormat="1" ht="15" customHeight="1">
      <c r="A24" s="471"/>
      <c r="B24" s="472"/>
      <c r="C24" s="472"/>
      <c r="D24" s="472"/>
      <c r="E24" s="472"/>
      <c r="F24" s="472"/>
      <c r="G24" s="473"/>
      <c r="H24" s="480"/>
      <c r="I24" s="481"/>
      <c r="J24" s="482"/>
      <c r="K24" s="621" t="s">
        <v>125</v>
      </c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596">
        <v>1</v>
      </c>
      <c r="Z24" s="596"/>
      <c r="AA24" s="596"/>
      <c r="AB24" s="597">
        <v>120000</v>
      </c>
      <c r="AC24" s="598"/>
      <c r="AD24" s="599"/>
      <c r="AE24" s="600"/>
      <c r="AF24" s="599">
        <f t="shared" si="0"/>
        <v>120000</v>
      </c>
      <c r="AG24" s="600"/>
      <c r="AH24" s="601"/>
      <c r="AI24" s="622" t="s">
        <v>24</v>
      </c>
      <c r="AJ24" s="622"/>
      <c r="AK24" s="622"/>
      <c r="AL24" s="622"/>
      <c r="AM24" s="623"/>
      <c r="AN24" s="199"/>
      <c r="AO24" s="251"/>
      <c r="AP24" s="250">
        <f t="shared" si="1"/>
        <v>60000</v>
      </c>
      <c r="AQ24" s="276">
        <v>0.5</v>
      </c>
      <c r="AR24" s="257">
        <v>1</v>
      </c>
      <c r="AS24" s="258"/>
      <c r="AT24" s="260">
        <v>1</v>
      </c>
      <c r="AU24" s="200"/>
      <c r="AV24" s="281">
        <f t="shared" si="2"/>
        <v>0.5</v>
      </c>
      <c r="AW24" s="282">
        <f t="shared" si="3"/>
        <v>60000</v>
      </c>
      <c r="AX24" s="171"/>
      <c r="AY24" s="171" t="s">
        <v>204</v>
      </c>
      <c r="AZ24" s="210">
        <v>1</v>
      </c>
      <c r="BA24" s="210">
        <f>AF24*AZ24</f>
        <v>120000</v>
      </c>
      <c r="BB24" s="386" t="s">
        <v>215</v>
      </c>
      <c r="BC24" s="386"/>
      <c r="BD24" s="386"/>
      <c r="BE24" s="386"/>
      <c r="BF24" s="386"/>
    </row>
    <row r="25" spans="1:58" s="202" customFormat="1" ht="15" customHeight="1">
      <c r="A25" s="471"/>
      <c r="B25" s="472"/>
      <c r="C25" s="472"/>
      <c r="D25" s="472"/>
      <c r="E25" s="472"/>
      <c r="F25" s="472"/>
      <c r="G25" s="473"/>
      <c r="H25" s="480"/>
      <c r="I25" s="481"/>
      <c r="J25" s="482"/>
      <c r="K25" s="614" t="s">
        <v>126</v>
      </c>
      <c r="L25" s="614"/>
      <c r="M25" s="614"/>
      <c r="N25" s="614"/>
      <c r="O25" s="614"/>
      <c r="P25" s="614"/>
      <c r="Q25" s="614"/>
      <c r="R25" s="614"/>
      <c r="S25" s="614"/>
      <c r="T25" s="614"/>
      <c r="U25" s="614"/>
      <c r="V25" s="614"/>
      <c r="W25" s="614"/>
      <c r="X25" s="269"/>
      <c r="Y25" s="596">
        <v>1</v>
      </c>
      <c r="Z25" s="596"/>
      <c r="AA25" s="596"/>
      <c r="AB25" s="597">
        <v>50000</v>
      </c>
      <c r="AC25" s="598"/>
      <c r="AD25" s="599"/>
      <c r="AE25" s="600"/>
      <c r="AF25" s="599">
        <f t="shared" si="0"/>
        <v>50000</v>
      </c>
      <c r="AG25" s="600"/>
      <c r="AH25" s="601"/>
      <c r="AI25" s="611"/>
      <c r="AJ25" s="612"/>
      <c r="AK25" s="612"/>
      <c r="AL25" s="612"/>
      <c r="AM25" s="613"/>
      <c r="AN25" s="199"/>
      <c r="AO25" s="251"/>
      <c r="AP25" s="250">
        <f t="shared" si="1"/>
        <v>0</v>
      </c>
      <c r="AQ25" s="276"/>
      <c r="AR25" s="257"/>
      <c r="AS25" s="258"/>
      <c r="AT25" s="260"/>
      <c r="AU25" s="200"/>
      <c r="AV25" s="281">
        <f t="shared" si="2"/>
        <v>0</v>
      </c>
      <c r="AW25" s="282">
        <f t="shared" si="3"/>
        <v>0</v>
      </c>
      <c r="AX25" s="171"/>
      <c r="AY25" s="171"/>
      <c r="AZ25" s="210"/>
      <c r="BA25" s="171"/>
      <c r="BB25" s="201"/>
    </row>
    <row r="26" spans="1:58" s="202" customFormat="1" ht="15" customHeight="1">
      <c r="A26" s="471"/>
      <c r="B26" s="472"/>
      <c r="C26" s="472"/>
      <c r="D26" s="472"/>
      <c r="E26" s="472"/>
      <c r="F26" s="472"/>
      <c r="G26" s="473"/>
      <c r="H26" s="480"/>
      <c r="I26" s="481"/>
      <c r="J26" s="482"/>
      <c r="K26" s="621" t="s">
        <v>126</v>
      </c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596">
        <v>1</v>
      </c>
      <c r="Z26" s="596"/>
      <c r="AA26" s="596"/>
      <c r="AB26" s="597">
        <v>50000</v>
      </c>
      <c r="AC26" s="598"/>
      <c r="AD26" s="599"/>
      <c r="AE26" s="600"/>
      <c r="AF26" s="599">
        <f t="shared" si="0"/>
        <v>50000</v>
      </c>
      <c r="AG26" s="600"/>
      <c r="AH26" s="601"/>
      <c r="AI26" s="624" t="s">
        <v>31</v>
      </c>
      <c r="AJ26" s="625"/>
      <c r="AK26" s="625"/>
      <c r="AL26" s="625"/>
      <c r="AM26" s="626"/>
      <c r="AN26" s="204"/>
      <c r="AO26" s="252" t="s">
        <v>170</v>
      </c>
      <c r="AP26" s="250">
        <f t="shared" si="1"/>
        <v>0</v>
      </c>
      <c r="AQ26" s="276">
        <v>0</v>
      </c>
      <c r="AR26" s="257">
        <v>1</v>
      </c>
      <c r="AS26" s="258"/>
      <c r="AT26" s="260">
        <v>1</v>
      </c>
      <c r="AU26" s="200"/>
      <c r="AV26" s="281">
        <f t="shared" si="2"/>
        <v>1</v>
      </c>
      <c r="AW26" s="282">
        <f t="shared" si="3"/>
        <v>50000</v>
      </c>
      <c r="AX26" s="171"/>
      <c r="AY26" s="171" t="s">
        <v>204</v>
      </c>
      <c r="AZ26" s="210">
        <v>0</v>
      </c>
      <c r="BA26" s="210">
        <f>AF26*AZ26</f>
        <v>0</v>
      </c>
      <c r="BB26" s="388" t="s">
        <v>206</v>
      </c>
      <c r="BC26" s="387"/>
      <c r="BD26" s="387"/>
      <c r="BE26" s="387"/>
      <c r="BF26" s="387"/>
    </row>
    <row r="27" spans="1:58" s="202" customFormat="1" ht="15" customHeight="1">
      <c r="A27" s="471"/>
      <c r="B27" s="472"/>
      <c r="C27" s="472"/>
      <c r="D27" s="472"/>
      <c r="E27" s="472"/>
      <c r="F27" s="472"/>
      <c r="G27" s="473"/>
      <c r="H27" s="480"/>
      <c r="I27" s="481"/>
      <c r="J27" s="482"/>
      <c r="K27" s="532" t="s">
        <v>127</v>
      </c>
      <c r="L27" s="641"/>
      <c r="M27" s="641"/>
      <c r="N27" s="641"/>
      <c r="O27" s="641"/>
      <c r="P27" s="641"/>
      <c r="Q27" s="641"/>
      <c r="R27" s="641"/>
      <c r="S27" s="641"/>
      <c r="T27" s="641"/>
      <c r="U27" s="641"/>
      <c r="V27" s="641"/>
      <c r="W27" s="641"/>
      <c r="X27" s="642"/>
      <c r="Y27" s="615">
        <v>1</v>
      </c>
      <c r="Z27" s="616"/>
      <c r="AA27" s="617"/>
      <c r="AB27" s="599">
        <v>80000</v>
      </c>
      <c r="AC27" s="601"/>
      <c r="AD27" s="599">
        <f>PRODUCT(AB27,1/10)</f>
        <v>8000</v>
      </c>
      <c r="AE27" s="600"/>
      <c r="AF27" s="599">
        <f>SUM(AB27,AD27)</f>
        <v>88000</v>
      </c>
      <c r="AG27" s="600"/>
      <c r="AH27" s="601"/>
      <c r="AI27" s="611"/>
      <c r="AJ27" s="612"/>
      <c r="AK27" s="612"/>
      <c r="AL27" s="612"/>
      <c r="AM27" s="613"/>
      <c r="AN27" s="199"/>
      <c r="AO27" s="251"/>
      <c r="AP27" s="250">
        <f t="shared" si="1"/>
        <v>0</v>
      </c>
      <c r="AQ27" s="276"/>
      <c r="AR27" s="257"/>
      <c r="AS27" s="258"/>
      <c r="AT27" s="260"/>
      <c r="AU27" s="200"/>
      <c r="AV27" s="281">
        <f t="shared" si="2"/>
        <v>0</v>
      </c>
      <c r="AW27" s="282">
        <f t="shared" si="3"/>
        <v>0</v>
      </c>
      <c r="AX27" s="171"/>
      <c r="AY27" s="171"/>
      <c r="AZ27" s="210"/>
      <c r="BA27" s="171"/>
      <c r="BB27" s="201"/>
    </row>
    <row r="28" spans="1:58" s="202" customFormat="1" ht="15.75" customHeight="1" thickBot="1">
      <c r="A28" s="474"/>
      <c r="B28" s="475"/>
      <c r="C28" s="475"/>
      <c r="D28" s="475"/>
      <c r="E28" s="475"/>
      <c r="F28" s="475"/>
      <c r="G28" s="476"/>
      <c r="H28" s="483"/>
      <c r="I28" s="484"/>
      <c r="J28" s="485"/>
      <c r="K28" s="627" t="s">
        <v>127</v>
      </c>
      <c r="L28" s="628"/>
      <c r="M28" s="628"/>
      <c r="N28" s="628"/>
      <c r="O28" s="628"/>
      <c r="P28" s="628"/>
      <c r="Q28" s="628"/>
      <c r="R28" s="628"/>
      <c r="S28" s="628"/>
      <c r="T28" s="628"/>
      <c r="U28" s="628"/>
      <c r="V28" s="628"/>
      <c r="W28" s="628"/>
      <c r="X28" s="629"/>
      <c r="Y28" s="630">
        <v>1</v>
      </c>
      <c r="Z28" s="631"/>
      <c r="AA28" s="632"/>
      <c r="AB28" s="633">
        <v>80000</v>
      </c>
      <c r="AC28" s="634"/>
      <c r="AD28" s="635"/>
      <c r="AE28" s="636"/>
      <c r="AF28" s="635">
        <f t="shared" si="0"/>
        <v>80000</v>
      </c>
      <c r="AG28" s="636"/>
      <c r="AH28" s="637"/>
      <c r="AI28" s="638"/>
      <c r="AJ28" s="639"/>
      <c r="AK28" s="639"/>
      <c r="AL28" s="639"/>
      <c r="AM28" s="640"/>
      <c r="AN28" s="199"/>
      <c r="AO28" s="251"/>
      <c r="AP28" s="250">
        <f t="shared" si="1"/>
        <v>0</v>
      </c>
      <c r="AQ28" s="276"/>
      <c r="AR28" s="257"/>
      <c r="AS28" s="258"/>
      <c r="AT28" s="260"/>
      <c r="AU28" s="200"/>
      <c r="AV28" s="281">
        <f t="shared" si="2"/>
        <v>0</v>
      </c>
      <c r="AW28" s="282">
        <f t="shared" si="3"/>
        <v>0</v>
      </c>
      <c r="AX28" s="171"/>
      <c r="AY28" s="171"/>
      <c r="AZ28" s="210"/>
      <c r="BA28" s="171"/>
      <c r="BB28" s="201"/>
    </row>
    <row r="29" spans="1:58" s="202" customFormat="1" ht="12.75" customHeight="1">
      <c r="A29" s="459" t="s">
        <v>128</v>
      </c>
      <c r="B29" s="460"/>
      <c r="C29" s="460"/>
      <c r="D29" s="460"/>
      <c r="E29" s="460"/>
      <c r="F29" s="460"/>
      <c r="G29" s="461"/>
      <c r="H29" s="477" t="s">
        <v>129</v>
      </c>
      <c r="I29" s="478"/>
      <c r="J29" s="479"/>
      <c r="K29" s="647" t="s">
        <v>130</v>
      </c>
      <c r="L29" s="648"/>
      <c r="M29" s="648"/>
      <c r="N29" s="648"/>
      <c r="O29" s="648"/>
      <c r="P29" s="648"/>
      <c r="Q29" s="648"/>
      <c r="R29" s="648"/>
      <c r="S29" s="648"/>
      <c r="T29" s="648"/>
      <c r="U29" s="648"/>
      <c r="V29" s="648"/>
      <c r="W29" s="648"/>
      <c r="X29" s="648"/>
      <c r="Y29" s="649">
        <v>1</v>
      </c>
      <c r="Z29" s="650"/>
      <c r="AA29" s="651"/>
      <c r="AB29" s="652">
        <v>90000</v>
      </c>
      <c r="AC29" s="653"/>
      <c r="AD29" s="652"/>
      <c r="AE29" s="654"/>
      <c r="AF29" s="643">
        <f t="shared" si="0"/>
        <v>90000</v>
      </c>
      <c r="AG29" s="643"/>
      <c r="AH29" s="643"/>
      <c r="AI29" s="644"/>
      <c r="AJ29" s="645"/>
      <c r="AK29" s="645"/>
      <c r="AL29" s="645"/>
      <c r="AM29" s="646"/>
      <c r="AN29" s="199"/>
      <c r="AO29" s="249"/>
      <c r="AP29" s="250">
        <f t="shared" si="1"/>
        <v>0</v>
      </c>
      <c r="AQ29" s="276"/>
      <c r="AR29" s="259"/>
      <c r="AS29" s="259"/>
      <c r="AT29" s="259"/>
      <c r="AU29" s="200"/>
      <c r="AV29" s="281">
        <f t="shared" si="2"/>
        <v>0</v>
      </c>
      <c r="AW29" s="282">
        <f t="shared" si="3"/>
        <v>0</v>
      </c>
      <c r="AX29" s="171"/>
      <c r="AY29" s="171"/>
      <c r="AZ29" s="210"/>
      <c r="BA29" s="171"/>
      <c r="BB29" s="201"/>
    </row>
    <row r="30" spans="1:58" s="202" customFormat="1" ht="12.75" customHeight="1">
      <c r="A30" s="462"/>
      <c r="B30" s="463"/>
      <c r="C30" s="463"/>
      <c r="D30" s="463"/>
      <c r="E30" s="463"/>
      <c r="F30" s="463"/>
      <c r="G30" s="464"/>
      <c r="H30" s="480"/>
      <c r="I30" s="481"/>
      <c r="J30" s="482"/>
      <c r="K30" s="534" t="s">
        <v>132</v>
      </c>
      <c r="L30" s="614"/>
      <c r="M30" s="614"/>
      <c r="N30" s="614"/>
      <c r="O30" s="614"/>
      <c r="P30" s="614"/>
      <c r="Q30" s="614"/>
      <c r="R30" s="614"/>
      <c r="S30" s="614"/>
      <c r="T30" s="614"/>
      <c r="U30" s="614"/>
      <c r="V30" s="614"/>
      <c r="W30" s="614"/>
      <c r="X30" s="614"/>
      <c r="Y30" s="615">
        <v>1</v>
      </c>
      <c r="Z30" s="616"/>
      <c r="AA30" s="617"/>
      <c r="AB30" s="599">
        <v>56000</v>
      </c>
      <c r="AC30" s="601"/>
      <c r="AD30" s="599"/>
      <c r="AE30" s="600"/>
      <c r="AF30" s="667">
        <f t="shared" si="0"/>
        <v>56000</v>
      </c>
      <c r="AG30" s="667"/>
      <c r="AH30" s="667"/>
      <c r="AI30" s="599"/>
      <c r="AJ30" s="600"/>
      <c r="AK30" s="600"/>
      <c r="AL30" s="600"/>
      <c r="AM30" s="668"/>
      <c r="AN30" s="199"/>
      <c r="AO30" s="251"/>
      <c r="AP30" s="250">
        <f t="shared" si="1"/>
        <v>0</v>
      </c>
      <c r="AQ30" s="276"/>
      <c r="AR30" s="257"/>
      <c r="AS30" s="258"/>
      <c r="AT30" s="260"/>
      <c r="AU30" s="200"/>
      <c r="AV30" s="281">
        <f t="shared" si="2"/>
        <v>0</v>
      </c>
      <c r="AW30" s="282">
        <f t="shared" si="3"/>
        <v>0</v>
      </c>
      <c r="AX30" s="171"/>
      <c r="AY30" s="171"/>
      <c r="AZ30" s="210"/>
      <c r="BA30" s="171"/>
      <c r="BB30" s="201"/>
    </row>
    <row r="31" spans="1:58" s="202" customFormat="1" ht="15.75" customHeight="1" thickBot="1">
      <c r="A31" s="465"/>
      <c r="B31" s="466"/>
      <c r="C31" s="466"/>
      <c r="D31" s="466"/>
      <c r="E31" s="466"/>
      <c r="F31" s="466"/>
      <c r="G31" s="467"/>
      <c r="H31" s="483"/>
      <c r="I31" s="484"/>
      <c r="J31" s="485"/>
      <c r="K31" s="655" t="s">
        <v>133</v>
      </c>
      <c r="L31" s="656"/>
      <c r="M31" s="656"/>
      <c r="N31" s="656"/>
      <c r="O31" s="656"/>
      <c r="P31" s="656"/>
      <c r="Q31" s="656"/>
      <c r="R31" s="656"/>
      <c r="S31" s="656"/>
      <c r="T31" s="656"/>
      <c r="U31" s="656"/>
      <c r="V31" s="656"/>
      <c r="W31" s="656"/>
      <c r="X31" s="656"/>
      <c r="Y31" s="657">
        <v>1</v>
      </c>
      <c r="Z31" s="658"/>
      <c r="AA31" s="659"/>
      <c r="AB31" s="660">
        <v>44000</v>
      </c>
      <c r="AC31" s="661"/>
      <c r="AD31" s="660"/>
      <c r="AE31" s="662"/>
      <c r="AF31" s="663">
        <f t="shared" si="0"/>
        <v>44000</v>
      </c>
      <c r="AG31" s="663"/>
      <c r="AH31" s="663"/>
      <c r="AI31" s="664"/>
      <c r="AJ31" s="665"/>
      <c r="AK31" s="665"/>
      <c r="AL31" s="665"/>
      <c r="AM31" s="666"/>
      <c r="AN31" s="199"/>
      <c r="AO31" s="251"/>
      <c r="AP31" s="250">
        <f t="shared" si="1"/>
        <v>0</v>
      </c>
      <c r="AQ31" s="276"/>
      <c r="AR31" s="257"/>
      <c r="AS31" s="258"/>
      <c r="AT31" s="260"/>
      <c r="AU31" s="200"/>
      <c r="AV31" s="281">
        <f t="shared" si="2"/>
        <v>0</v>
      </c>
      <c r="AW31" s="282">
        <f t="shared" si="3"/>
        <v>0</v>
      </c>
      <c r="AX31" s="171"/>
      <c r="AY31" s="171"/>
      <c r="AZ31" s="210"/>
      <c r="BA31" s="171"/>
      <c r="BB31" s="201"/>
    </row>
    <row r="32" spans="1:58" s="202" customFormat="1" ht="28.5" customHeight="1">
      <c r="A32" s="459" t="s">
        <v>134</v>
      </c>
      <c r="B32" s="460"/>
      <c r="C32" s="460"/>
      <c r="D32" s="460"/>
      <c r="E32" s="460"/>
      <c r="F32" s="460"/>
      <c r="G32" s="461"/>
      <c r="H32" s="477" t="s">
        <v>135</v>
      </c>
      <c r="I32" s="478"/>
      <c r="J32" s="479"/>
      <c r="K32" s="669" t="s">
        <v>136</v>
      </c>
      <c r="L32" s="670"/>
      <c r="M32" s="670"/>
      <c r="N32" s="670"/>
      <c r="O32" s="670"/>
      <c r="P32" s="670"/>
      <c r="Q32" s="670"/>
      <c r="R32" s="670"/>
      <c r="S32" s="670"/>
      <c r="T32" s="670"/>
      <c r="U32" s="670"/>
      <c r="V32" s="670"/>
      <c r="W32" s="670"/>
      <c r="X32" s="671"/>
      <c r="Y32" s="672">
        <v>1</v>
      </c>
      <c r="Z32" s="672"/>
      <c r="AA32" s="672"/>
      <c r="AB32" s="597">
        <v>110000</v>
      </c>
      <c r="AC32" s="673"/>
      <c r="AD32" s="597"/>
      <c r="AE32" s="673"/>
      <c r="AF32" s="597">
        <f t="shared" si="0"/>
        <v>110000</v>
      </c>
      <c r="AG32" s="673"/>
      <c r="AH32" s="598"/>
      <c r="AI32" s="674" t="s">
        <v>11</v>
      </c>
      <c r="AJ32" s="674"/>
      <c r="AK32" s="674"/>
      <c r="AL32" s="674"/>
      <c r="AM32" s="675"/>
      <c r="AN32" s="205"/>
      <c r="AO32" s="251"/>
      <c r="AP32" s="250">
        <f t="shared" si="1"/>
        <v>55000</v>
      </c>
      <c r="AQ32" s="276">
        <v>0.5</v>
      </c>
      <c r="AR32" s="257">
        <v>1</v>
      </c>
      <c r="AS32" s="258"/>
      <c r="AT32" s="257">
        <v>1</v>
      </c>
      <c r="AU32" s="200"/>
      <c r="AV32" s="281">
        <f t="shared" si="2"/>
        <v>0.5</v>
      </c>
      <c r="AW32" s="282">
        <f t="shared" si="3"/>
        <v>55000</v>
      </c>
      <c r="AX32" s="171"/>
      <c r="AY32" s="171" t="s">
        <v>204</v>
      </c>
      <c r="AZ32" s="210">
        <v>0.5</v>
      </c>
      <c r="BA32" s="210">
        <f>AF32*AZ32</f>
        <v>55000</v>
      </c>
      <c r="BB32" s="388" t="s">
        <v>207</v>
      </c>
      <c r="BC32" s="387"/>
      <c r="BD32" s="387"/>
      <c r="BE32" s="387"/>
      <c r="BF32" s="387"/>
    </row>
    <row r="33" spans="1:60" s="202" customFormat="1" ht="15" customHeight="1">
      <c r="A33" s="462"/>
      <c r="B33" s="463"/>
      <c r="C33" s="463"/>
      <c r="D33" s="463"/>
      <c r="E33" s="463"/>
      <c r="F33" s="463"/>
      <c r="G33" s="464"/>
      <c r="H33" s="480"/>
      <c r="I33" s="481"/>
      <c r="J33" s="482"/>
      <c r="K33" s="621" t="s">
        <v>131</v>
      </c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15">
        <v>1</v>
      </c>
      <c r="Z33" s="616"/>
      <c r="AA33" s="617"/>
      <c r="AB33" s="599">
        <v>70000</v>
      </c>
      <c r="AC33" s="601"/>
      <c r="AD33" s="599"/>
      <c r="AE33" s="600"/>
      <c r="AF33" s="667">
        <f t="shared" si="0"/>
        <v>70000</v>
      </c>
      <c r="AG33" s="667"/>
      <c r="AH33" s="667"/>
      <c r="AI33" s="516" t="s">
        <v>172</v>
      </c>
      <c r="AJ33" s="517"/>
      <c r="AK33" s="517"/>
      <c r="AL33" s="517"/>
      <c r="AM33" s="518"/>
      <c r="AN33" s="206"/>
      <c r="AO33" s="279" t="s">
        <v>201</v>
      </c>
      <c r="AP33" s="250">
        <f t="shared" si="1"/>
        <v>0</v>
      </c>
      <c r="AQ33" s="276">
        <v>0</v>
      </c>
      <c r="AR33" s="259"/>
      <c r="AS33" s="259">
        <v>1</v>
      </c>
      <c r="AT33" s="259">
        <v>1</v>
      </c>
      <c r="AU33" s="200"/>
      <c r="AV33" s="281">
        <f t="shared" si="2"/>
        <v>0.5</v>
      </c>
      <c r="AW33" s="282">
        <f t="shared" si="3"/>
        <v>35000</v>
      </c>
      <c r="AX33" s="171"/>
      <c r="AY33" s="171" t="s">
        <v>204</v>
      </c>
      <c r="AZ33" s="210">
        <v>0</v>
      </c>
      <c r="BA33" s="210">
        <f>AF33*AZ33</f>
        <v>0</v>
      </c>
      <c r="BB33" s="388" t="s">
        <v>206</v>
      </c>
      <c r="BC33" s="387"/>
      <c r="BD33" s="387"/>
      <c r="BE33" s="387"/>
      <c r="BF33" s="387"/>
    </row>
    <row r="34" spans="1:60" s="202" customFormat="1" ht="15" customHeight="1">
      <c r="A34" s="462"/>
      <c r="B34" s="463"/>
      <c r="C34" s="463"/>
      <c r="D34" s="463"/>
      <c r="E34" s="463"/>
      <c r="F34" s="463"/>
      <c r="G34" s="464"/>
      <c r="H34" s="480"/>
      <c r="I34" s="481"/>
      <c r="J34" s="482"/>
      <c r="K34" s="621" t="s">
        <v>131</v>
      </c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15">
        <v>1</v>
      </c>
      <c r="Z34" s="616"/>
      <c r="AA34" s="617"/>
      <c r="AB34" s="599">
        <v>70000</v>
      </c>
      <c r="AC34" s="601"/>
      <c r="AD34" s="599"/>
      <c r="AE34" s="600"/>
      <c r="AF34" s="667">
        <f t="shared" si="0"/>
        <v>70000</v>
      </c>
      <c r="AG34" s="667"/>
      <c r="AH34" s="667"/>
      <c r="AI34" s="516" t="s">
        <v>34</v>
      </c>
      <c r="AJ34" s="517"/>
      <c r="AK34" s="517"/>
      <c r="AL34" s="517"/>
      <c r="AM34" s="518"/>
      <c r="AN34" s="199"/>
      <c r="AO34" s="279" t="s">
        <v>201</v>
      </c>
      <c r="AP34" s="250">
        <f t="shared" si="1"/>
        <v>0</v>
      </c>
      <c r="AQ34" s="276">
        <v>0</v>
      </c>
      <c r="AR34" s="259">
        <v>1</v>
      </c>
      <c r="AS34" s="259"/>
      <c r="AT34" s="259">
        <v>1</v>
      </c>
      <c r="AU34" s="200"/>
      <c r="AV34" s="281">
        <f t="shared" si="2"/>
        <v>1</v>
      </c>
      <c r="AW34" s="282">
        <f t="shared" si="3"/>
        <v>70000</v>
      </c>
      <c r="AX34" s="171"/>
      <c r="AY34" s="171" t="s">
        <v>204</v>
      </c>
      <c r="AZ34" s="210">
        <v>0</v>
      </c>
      <c r="BA34" s="210">
        <f>AF34*AZ34</f>
        <v>0</v>
      </c>
      <c r="BB34" s="388" t="s">
        <v>206</v>
      </c>
      <c r="BC34" s="387"/>
      <c r="BD34" s="387"/>
      <c r="BE34" s="387"/>
      <c r="BF34" s="387"/>
    </row>
    <row r="35" spans="1:60" s="202" customFormat="1" ht="12.75" customHeight="1">
      <c r="A35" s="462"/>
      <c r="B35" s="463"/>
      <c r="C35" s="463"/>
      <c r="D35" s="463"/>
      <c r="E35" s="463"/>
      <c r="F35" s="463"/>
      <c r="G35" s="464"/>
      <c r="H35" s="480"/>
      <c r="I35" s="481"/>
      <c r="J35" s="482"/>
      <c r="K35" s="614" t="s">
        <v>132</v>
      </c>
      <c r="L35" s="614"/>
      <c r="M35" s="614"/>
      <c r="N35" s="614"/>
      <c r="O35" s="614"/>
      <c r="P35" s="614"/>
      <c r="Q35" s="614"/>
      <c r="R35" s="614"/>
      <c r="S35" s="614"/>
      <c r="T35" s="614"/>
      <c r="U35" s="614"/>
      <c r="V35" s="614"/>
      <c r="W35" s="614"/>
      <c r="X35" s="614"/>
      <c r="Y35" s="615">
        <v>1</v>
      </c>
      <c r="Z35" s="616"/>
      <c r="AA35" s="617"/>
      <c r="AB35" s="599">
        <v>56000</v>
      </c>
      <c r="AC35" s="601"/>
      <c r="AD35" s="599"/>
      <c r="AE35" s="600"/>
      <c r="AF35" s="667">
        <f t="shared" si="0"/>
        <v>56000</v>
      </c>
      <c r="AG35" s="667"/>
      <c r="AH35" s="667"/>
      <c r="AI35" s="618"/>
      <c r="AJ35" s="619"/>
      <c r="AK35" s="619"/>
      <c r="AL35" s="619"/>
      <c r="AM35" s="620"/>
      <c r="AN35" s="207"/>
      <c r="AO35" s="251"/>
      <c r="AP35" s="250">
        <f t="shared" si="1"/>
        <v>0</v>
      </c>
      <c r="AQ35" s="276"/>
      <c r="AR35" s="260"/>
      <c r="AS35" s="258"/>
      <c r="AT35" s="260"/>
      <c r="AU35" s="200"/>
      <c r="AV35" s="281">
        <f t="shared" si="2"/>
        <v>0</v>
      </c>
      <c r="AW35" s="282">
        <f t="shared" si="3"/>
        <v>0</v>
      </c>
      <c r="AX35" s="171"/>
      <c r="AY35" s="171"/>
      <c r="AZ35" s="210"/>
      <c r="BA35" s="171"/>
      <c r="BB35" s="201"/>
    </row>
    <row r="36" spans="1:60" s="202" customFormat="1" ht="15.75" customHeight="1" thickBot="1">
      <c r="A36" s="465"/>
      <c r="B36" s="466"/>
      <c r="C36" s="466"/>
      <c r="D36" s="466"/>
      <c r="E36" s="466"/>
      <c r="F36" s="466"/>
      <c r="G36" s="467"/>
      <c r="H36" s="483"/>
      <c r="I36" s="484"/>
      <c r="J36" s="485"/>
      <c r="K36" s="676" t="s">
        <v>133</v>
      </c>
      <c r="L36" s="676"/>
      <c r="M36" s="676"/>
      <c r="N36" s="676"/>
      <c r="O36" s="676"/>
      <c r="P36" s="676"/>
      <c r="Q36" s="676"/>
      <c r="R36" s="676"/>
      <c r="S36" s="676"/>
      <c r="T36" s="676"/>
      <c r="U36" s="676"/>
      <c r="V36" s="676"/>
      <c r="W36" s="676"/>
      <c r="X36" s="676"/>
      <c r="Y36" s="677">
        <v>1</v>
      </c>
      <c r="Z36" s="678"/>
      <c r="AA36" s="679"/>
      <c r="AB36" s="633">
        <v>44000</v>
      </c>
      <c r="AC36" s="634"/>
      <c r="AD36" s="633"/>
      <c r="AE36" s="680"/>
      <c r="AF36" s="681">
        <f t="shared" si="0"/>
        <v>44000</v>
      </c>
      <c r="AG36" s="681"/>
      <c r="AH36" s="681"/>
      <c r="AI36" s="664"/>
      <c r="AJ36" s="665"/>
      <c r="AK36" s="665"/>
      <c r="AL36" s="665"/>
      <c r="AM36" s="666"/>
      <c r="AN36" s="207"/>
      <c r="AO36" s="251"/>
      <c r="AP36" s="250">
        <f t="shared" si="1"/>
        <v>0</v>
      </c>
      <c r="AQ36" s="276"/>
      <c r="AR36" s="257"/>
      <c r="AS36" s="258"/>
      <c r="AT36" s="260"/>
      <c r="AU36" s="200"/>
      <c r="AV36" s="281">
        <f t="shared" si="2"/>
        <v>0</v>
      </c>
      <c r="AW36" s="282">
        <f t="shared" si="3"/>
        <v>0</v>
      </c>
      <c r="AX36" s="171"/>
      <c r="AY36" s="171"/>
      <c r="AZ36" s="210"/>
      <c r="BA36" s="171"/>
      <c r="BB36" s="201"/>
    </row>
    <row r="37" spans="1:60" s="202" customFormat="1" ht="27.75" customHeight="1">
      <c r="A37" s="691" t="s">
        <v>137</v>
      </c>
      <c r="B37" s="692"/>
      <c r="C37" s="692"/>
      <c r="D37" s="692"/>
      <c r="E37" s="692"/>
      <c r="F37" s="692"/>
      <c r="G37" s="693"/>
      <c r="H37" s="700" t="s">
        <v>138</v>
      </c>
      <c r="I37" s="700"/>
      <c r="J37" s="700"/>
      <c r="K37" s="703" t="s">
        <v>139</v>
      </c>
      <c r="L37" s="704"/>
      <c r="M37" s="704"/>
      <c r="N37" s="704"/>
      <c r="O37" s="704"/>
      <c r="P37" s="704"/>
      <c r="Q37" s="704"/>
      <c r="R37" s="704"/>
      <c r="S37" s="704"/>
      <c r="T37" s="704"/>
      <c r="U37" s="704"/>
      <c r="V37" s="704"/>
      <c r="W37" s="704"/>
      <c r="X37" s="705"/>
      <c r="Y37" s="706">
        <v>1</v>
      </c>
      <c r="Z37" s="707"/>
      <c r="AA37" s="708"/>
      <c r="AB37" s="608">
        <v>130000</v>
      </c>
      <c r="AC37" s="610"/>
      <c r="AD37" s="608">
        <f>PRODUCT(AB37,1/10)</f>
        <v>13000</v>
      </c>
      <c r="AE37" s="610"/>
      <c r="AF37" s="608">
        <f t="shared" si="0"/>
        <v>143000</v>
      </c>
      <c r="AG37" s="609"/>
      <c r="AH37" s="610"/>
      <c r="AI37" s="682"/>
      <c r="AJ37" s="683"/>
      <c r="AK37" s="683"/>
      <c r="AL37" s="683"/>
      <c r="AM37" s="684"/>
      <c r="AN37" s="207"/>
      <c r="AO37" s="251"/>
      <c r="AP37" s="250">
        <f t="shared" si="1"/>
        <v>0</v>
      </c>
      <c r="AQ37" s="276"/>
      <c r="AR37" s="257"/>
      <c r="AS37" s="258"/>
      <c r="AT37" s="260"/>
      <c r="AU37" s="200"/>
      <c r="AV37" s="281">
        <f t="shared" si="2"/>
        <v>0</v>
      </c>
      <c r="AW37" s="282">
        <f t="shared" si="3"/>
        <v>0</v>
      </c>
      <c r="AX37" s="171"/>
      <c r="AY37" s="171"/>
      <c r="AZ37" s="210"/>
      <c r="BA37" s="171"/>
      <c r="BB37" s="201"/>
    </row>
    <row r="38" spans="1:60" s="202" customFormat="1" ht="12.75">
      <c r="A38" s="694"/>
      <c r="B38" s="695"/>
      <c r="C38" s="695"/>
      <c r="D38" s="695"/>
      <c r="E38" s="695"/>
      <c r="F38" s="695"/>
      <c r="G38" s="696"/>
      <c r="H38" s="701"/>
      <c r="I38" s="701"/>
      <c r="J38" s="701"/>
      <c r="K38" s="685" t="s">
        <v>140</v>
      </c>
      <c r="L38" s="685"/>
      <c r="M38" s="685"/>
      <c r="N38" s="685"/>
      <c r="O38" s="685"/>
      <c r="P38" s="685"/>
      <c r="Q38" s="685"/>
      <c r="R38" s="685"/>
      <c r="S38" s="685"/>
      <c r="T38" s="685"/>
      <c r="U38" s="685"/>
      <c r="V38" s="685"/>
      <c r="W38" s="685"/>
      <c r="X38" s="685"/>
      <c r="Y38" s="672">
        <v>1</v>
      </c>
      <c r="Z38" s="672"/>
      <c r="AA38" s="672"/>
      <c r="AB38" s="686">
        <v>36000</v>
      </c>
      <c r="AC38" s="686"/>
      <c r="AD38" s="687">
        <f>PRODUCT(AB38,1/10)</f>
        <v>3600</v>
      </c>
      <c r="AE38" s="688"/>
      <c r="AF38" s="686">
        <f t="shared" si="0"/>
        <v>39600</v>
      </c>
      <c r="AG38" s="686"/>
      <c r="AH38" s="686"/>
      <c r="AI38" s="689" t="s">
        <v>210</v>
      </c>
      <c r="AJ38" s="689"/>
      <c r="AK38" s="689"/>
      <c r="AL38" s="689"/>
      <c r="AM38" s="690"/>
      <c r="AN38" s="207"/>
      <c r="AO38" s="251" t="s">
        <v>141</v>
      </c>
      <c r="AP38" s="250">
        <f t="shared" si="1"/>
        <v>3960</v>
      </c>
      <c r="AQ38" s="276">
        <v>0.1</v>
      </c>
      <c r="AR38" s="257"/>
      <c r="AS38" s="258"/>
      <c r="AT38" s="260">
        <v>1</v>
      </c>
      <c r="AU38" s="198"/>
      <c r="AV38" s="281">
        <f t="shared" si="2"/>
        <v>0.4</v>
      </c>
      <c r="AW38" s="282">
        <f t="shared" si="3"/>
        <v>15840</v>
      </c>
      <c r="AX38" s="171"/>
      <c r="AY38" s="171" t="s">
        <v>204</v>
      </c>
      <c r="AZ38" s="210">
        <v>0.1</v>
      </c>
      <c r="BA38" s="210">
        <f>AF38*AZ38</f>
        <v>3960</v>
      </c>
      <c r="BB38" s="388" t="s">
        <v>212</v>
      </c>
      <c r="BC38" s="391"/>
      <c r="BD38" s="387"/>
      <c r="BE38" s="387"/>
      <c r="BF38" s="387"/>
    </row>
    <row r="39" spans="1:60" s="202" customFormat="1" ht="13.5" thickBot="1">
      <c r="A39" s="697"/>
      <c r="B39" s="698"/>
      <c r="C39" s="698"/>
      <c r="D39" s="698"/>
      <c r="E39" s="698"/>
      <c r="F39" s="698"/>
      <c r="G39" s="699"/>
      <c r="H39" s="702"/>
      <c r="I39" s="702"/>
      <c r="J39" s="702"/>
      <c r="K39" s="709" t="s">
        <v>140</v>
      </c>
      <c r="L39" s="709"/>
      <c r="M39" s="709"/>
      <c r="N39" s="709"/>
      <c r="O39" s="709"/>
      <c r="P39" s="709"/>
      <c r="Q39" s="709"/>
      <c r="R39" s="709"/>
      <c r="S39" s="709"/>
      <c r="T39" s="709"/>
      <c r="U39" s="709"/>
      <c r="V39" s="709"/>
      <c r="W39" s="709"/>
      <c r="X39" s="709"/>
      <c r="Y39" s="710">
        <v>1</v>
      </c>
      <c r="Z39" s="710"/>
      <c r="AA39" s="710"/>
      <c r="AB39" s="711">
        <v>36000</v>
      </c>
      <c r="AC39" s="711"/>
      <c r="AD39" s="711"/>
      <c r="AE39" s="711"/>
      <c r="AF39" s="711">
        <f t="shared" si="0"/>
        <v>36000</v>
      </c>
      <c r="AG39" s="711"/>
      <c r="AH39" s="711"/>
      <c r="AI39" s="712" t="s">
        <v>211</v>
      </c>
      <c r="AJ39" s="712"/>
      <c r="AK39" s="712"/>
      <c r="AL39" s="712"/>
      <c r="AM39" s="713"/>
      <c r="AN39" s="207"/>
      <c r="AO39" s="309" t="s">
        <v>141</v>
      </c>
      <c r="AP39" s="310">
        <f t="shared" si="1"/>
        <v>3600</v>
      </c>
      <c r="AQ39" s="311">
        <v>0.1</v>
      </c>
      <c r="AR39" s="312"/>
      <c r="AS39" s="313"/>
      <c r="AT39" s="314">
        <v>1</v>
      </c>
      <c r="AU39" s="315"/>
      <c r="AV39" s="316">
        <f t="shared" si="2"/>
        <v>0.4</v>
      </c>
      <c r="AW39" s="317">
        <f t="shared" si="3"/>
        <v>14400</v>
      </c>
      <c r="AX39" s="171"/>
      <c r="AY39" s="171" t="s">
        <v>204</v>
      </c>
      <c r="AZ39" s="210">
        <v>0.1</v>
      </c>
      <c r="BA39" s="210">
        <f>AF39*AZ39</f>
        <v>3600</v>
      </c>
      <c r="BB39" s="388" t="s">
        <v>212</v>
      </c>
      <c r="BC39" s="387"/>
      <c r="BD39" s="387"/>
      <c r="BE39" s="387"/>
      <c r="BF39" s="387"/>
    </row>
    <row r="40" spans="1:60" s="268" customFormat="1" ht="12.75">
      <c r="A40" s="294"/>
      <c r="B40" s="295"/>
      <c r="C40" s="295"/>
      <c r="D40" s="295"/>
      <c r="E40" s="295"/>
      <c r="F40" s="295"/>
      <c r="G40" s="283"/>
      <c r="H40" s="284"/>
      <c r="I40" s="284"/>
      <c r="J40" s="284"/>
      <c r="K40" s="285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7"/>
      <c r="Y40" s="726"/>
      <c r="Z40" s="726"/>
      <c r="AA40" s="726"/>
      <c r="AB40" s="288"/>
      <c r="AC40" s="289"/>
      <c r="AD40" s="288"/>
      <c r="AE40" s="289"/>
      <c r="AF40" s="288"/>
      <c r="AG40" s="289"/>
      <c r="AH40" s="290"/>
      <c r="AI40" s="291"/>
      <c r="AJ40" s="292"/>
      <c r="AK40" s="292"/>
      <c r="AL40" s="292"/>
      <c r="AM40" s="293"/>
      <c r="AN40" s="207"/>
      <c r="AO40" s="251"/>
      <c r="AP40" s="318">
        <f>SUM(AP20:AP39)</f>
        <v>293060</v>
      </c>
      <c r="AQ40" s="321">
        <f>SUM(AQ20:AQ39)</f>
        <v>2.2000000000000002</v>
      </c>
      <c r="AR40" s="319">
        <f>SUM(AR20:AR39)</f>
        <v>6</v>
      </c>
      <c r="AS40" s="319">
        <f>SUM(AS20:AS39)</f>
        <v>1</v>
      </c>
      <c r="AT40" s="319">
        <f>SUM(AT20:AT39)</f>
        <v>9</v>
      </c>
      <c r="AU40" s="320"/>
      <c r="AV40" s="319">
        <f>SUM(AV20:AV39)</f>
        <v>5.3000000000000007</v>
      </c>
      <c r="AW40" s="319">
        <f>SUM(AW20:AW39)</f>
        <v>470740</v>
      </c>
      <c r="AX40" s="403"/>
      <c r="AY40" s="403"/>
      <c r="AZ40" s="339">
        <f>SUM(AZ20:AZ39)</f>
        <v>3.7</v>
      </c>
      <c r="BA40" s="339">
        <f>SUM(BA20:BA39)</f>
        <v>523560</v>
      </c>
      <c r="BB40" s="404"/>
      <c r="BC40" s="355"/>
      <c r="BD40" s="355"/>
      <c r="BE40" s="355"/>
      <c r="BF40" s="355"/>
    </row>
    <row r="41" spans="1:60" s="268" customFormat="1" ht="13.5" thickBot="1">
      <c r="A41" s="296"/>
      <c r="B41" s="297"/>
      <c r="C41" s="297"/>
      <c r="D41" s="297"/>
      <c r="E41" s="297"/>
      <c r="F41" s="297"/>
      <c r="G41" s="298"/>
      <c r="H41" s="299"/>
      <c r="I41" s="299"/>
      <c r="J41" s="299"/>
      <c r="K41" s="300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2"/>
      <c r="Y41" s="727"/>
      <c r="Z41" s="727"/>
      <c r="AA41" s="727"/>
      <c r="AB41" s="303"/>
      <c r="AC41" s="304"/>
      <c r="AD41" s="303"/>
      <c r="AE41" s="304"/>
      <c r="AF41" s="303"/>
      <c r="AG41" s="304"/>
      <c r="AH41" s="305"/>
      <c r="AI41" s="306"/>
      <c r="AJ41" s="307"/>
      <c r="AK41" s="307"/>
      <c r="AL41" s="307"/>
      <c r="AM41" s="308"/>
      <c r="AN41" s="207"/>
      <c r="AO41" s="309"/>
      <c r="AP41" s="310"/>
      <c r="AQ41" s="311"/>
      <c r="AR41" s="324"/>
      <c r="AS41" s="325"/>
      <c r="AT41" s="326"/>
      <c r="AU41" s="323"/>
      <c r="AV41" s="378">
        <f>AQ40+AV40</f>
        <v>7.5000000000000009</v>
      </c>
      <c r="AW41" s="378">
        <f>AP40+AW40</f>
        <v>763800</v>
      </c>
      <c r="AX41" s="405"/>
      <c r="AY41" s="405"/>
      <c r="AZ41" s="405"/>
      <c r="BA41" s="405"/>
      <c r="BB41" s="370"/>
      <c r="BC41" s="369"/>
      <c r="BD41" s="369"/>
      <c r="BE41" s="369"/>
      <c r="BF41" s="369"/>
    </row>
    <row r="42" spans="1:60" s="202" customFormat="1" ht="45.75" customHeight="1" thickBot="1">
      <c r="A42" s="504" t="s">
        <v>142</v>
      </c>
      <c r="B42" s="505"/>
      <c r="C42" s="505"/>
      <c r="D42" s="505"/>
      <c r="E42" s="505"/>
      <c r="F42" s="505"/>
      <c r="G42" s="506"/>
      <c r="H42" s="392" t="s">
        <v>143</v>
      </c>
      <c r="I42" s="393"/>
      <c r="J42" s="394"/>
      <c r="K42" s="714" t="s">
        <v>213</v>
      </c>
      <c r="L42" s="715"/>
      <c r="M42" s="715"/>
      <c r="N42" s="715"/>
      <c r="O42" s="715"/>
      <c r="P42" s="715"/>
      <c r="Q42" s="715"/>
      <c r="R42" s="715"/>
      <c r="S42" s="715"/>
      <c r="T42" s="715"/>
      <c r="U42" s="715"/>
      <c r="V42" s="715"/>
      <c r="W42" s="715"/>
      <c r="X42" s="716"/>
      <c r="Y42" s="717">
        <v>1</v>
      </c>
      <c r="Z42" s="717"/>
      <c r="AA42" s="717"/>
      <c r="AB42" s="718">
        <v>60000</v>
      </c>
      <c r="AC42" s="719"/>
      <c r="AD42" s="718"/>
      <c r="AE42" s="719"/>
      <c r="AF42" s="720">
        <f>AB42</f>
        <v>60000</v>
      </c>
      <c r="AG42" s="721"/>
      <c r="AH42" s="722"/>
      <c r="AI42" s="723"/>
      <c r="AJ42" s="724"/>
      <c r="AK42" s="724"/>
      <c r="AL42" s="724"/>
      <c r="AM42" s="725"/>
      <c r="AN42" s="206"/>
      <c r="AO42" s="396"/>
      <c r="AP42" s="370"/>
      <c r="AQ42" s="371"/>
      <c r="AR42" s="397"/>
      <c r="AS42" s="398"/>
      <c r="AT42" s="397"/>
      <c r="AU42" s="399"/>
      <c r="AV42" s="400"/>
      <c r="AW42" s="401"/>
      <c r="AX42" s="369"/>
      <c r="AY42" s="402"/>
      <c r="AZ42" s="402"/>
      <c r="BA42" s="370"/>
      <c r="BB42" s="370"/>
      <c r="BC42" s="369"/>
      <c r="BD42" s="369"/>
      <c r="BE42" s="369"/>
      <c r="BF42" s="369"/>
    </row>
    <row r="43" spans="1:60" s="202" customFormat="1" ht="12.75" customHeight="1">
      <c r="A43" s="486" t="s">
        <v>145</v>
      </c>
      <c r="B43" s="487"/>
      <c r="C43" s="487"/>
      <c r="D43" s="487"/>
      <c r="E43" s="487"/>
      <c r="F43" s="487"/>
      <c r="G43" s="488"/>
      <c r="H43" s="495" t="s">
        <v>146</v>
      </c>
      <c r="I43" s="496"/>
      <c r="J43" s="497"/>
      <c r="K43" s="728" t="s">
        <v>147</v>
      </c>
      <c r="L43" s="729"/>
      <c r="M43" s="729"/>
      <c r="N43" s="729"/>
      <c r="O43" s="729"/>
      <c r="P43" s="729"/>
      <c r="Q43" s="729"/>
      <c r="R43" s="729"/>
      <c r="S43" s="729"/>
      <c r="T43" s="729"/>
      <c r="U43" s="729"/>
      <c r="V43" s="729"/>
      <c r="W43" s="729"/>
      <c r="X43" s="730"/>
      <c r="Y43" s="731">
        <v>1</v>
      </c>
      <c r="Z43" s="732"/>
      <c r="AA43" s="733"/>
      <c r="AB43" s="734">
        <v>140000</v>
      </c>
      <c r="AC43" s="735"/>
      <c r="AD43" s="734">
        <f>PRODUCT(AB43,1/10)</f>
        <v>14000</v>
      </c>
      <c r="AE43" s="735"/>
      <c r="AF43" s="734">
        <f t="shared" si="0"/>
        <v>154000</v>
      </c>
      <c r="AG43" s="735"/>
      <c r="AH43" s="751"/>
      <c r="AI43" s="752" t="s">
        <v>33</v>
      </c>
      <c r="AJ43" s="753"/>
      <c r="AK43" s="753"/>
      <c r="AL43" s="753"/>
      <c r="AM43" s="754"/>
      <c r="AN43" s="206"/>
      <c r="AO43" s="255"/>
      <c r="AP43" s="212">
        <f t="shared" si="1"/>
        <v>77000</v>
      </c>
      <c r="AQ43" s="276">
        <v>0.5</v>
      </c>
      <c r="AR43" s="395">
        <v>1</v>
      </c>
      <c r="AS43" s="379"/>
      <c r="AT43" s="322">
        <v>1</v>
      </c>
      <c r="AU43" s="200"/>
      <c r="AV43" s="281">
        <f t="shared" ref="AV43:AV87" si="4">IF(AR43=1,AR43-AQ43,IF(AS43=1,0.5-AQ43,IF(AT43=1,0.5-AQ43,0)))</f>
        <v>0.5</v>
      </c>
      <c r="AW43" s="282">
        <f t="shared" si="3"/>
        <v>77000</v>
      </c>
      <c r="AX43" s="171"/>
      <c r="AY43" s="174" t="s">
        <v>204</v>
      </c>
      <c r="AZ43" s="174">
        <v>1</v>
      </c>
      <c r="BA43" s="210">
        <f>AF43*AZ43</f>
        <v>154000</v>
      </c>
      <c r="BB43" s="386" t="s">
        <v>215</v>
      </c>
      <c r="BC43" s="386"/>
      <c r="BD43" s="386"/>
      <c r="BE43" s="386"/>
      <c r="BF43" s="386"/>
    </row>
    <row r="44" spans="1:60" s="202" customFormat="1" ht="15" customHeight="1">
      <c r="A44" s="489"/>
      <c r="B44" s="490"/>
      <c r="C44" s="490"/>
      <c r="D44" s="490"/>
      <c r="E44" s="490"/>
      <c r="F44" s="490"/>
      <c r="G44" s="491"/>
      <c r="H44" s="498"/>
      <c r="I44" s="499"/>
      <c r="J44" s="500"/>
      <c r="K44" s="530" t="s">
        <v>148</v>
      </c>
      <c r="L44" s="531"/>
      <c r="M44" s="531"/>
      <c r="N44" s="531"/>
      <c r="O44" s="531"/>
      <c r="P44" s="531"/>
      <c r="Q44" s="531"/>
      <c r="R44" s="531"/>
      <c r="S44" s="531"/>
      <c r="T44" s="531"/>
      <c r="U44" s="531"/>
      <c r="V44" s="531"/>
      <c r="W44" s="531"/>
      <c r="X44" s="209"/>
      <c r="Y44" s="521">
        <v>1</v>
      </c>
      <c r="Z44" s="522"/>
      <c r="AA44" s="523"/>
      <c r="AB44" s="513">
        <v>96000</v>
      </c>
      <c r="AC44" s="514"/>
      <c r="AD44" s="513"/>
      <c r="AE44" s="514"/>
      <c r="AF44" s="513">
        <f>SUM(AB44,AD44)</f>
        <v>96000</v>
      </c>
      <c r="AG44" s="514"/>
      <c r="AH44" s="515"/>
      <c r="AI44" s="755" t="s">
        <v>50</v>
      </c>
      <c r="AJ44" s="755"/>
      <c r="AK44" s="755"/>
      <c r="AL44" s="755"/>
      <c r="AM44" s="756"/>
      <c r="AN44" s="206"/>
      <c r="AO44" s="255"/>
      <c r="AP44" s="212">
        <f>AF44*AQ44</f>
        <v>96000</v>
      </c>
      <c r="AQ44" s="276">
        <v>1</v>
      </c>
      <c r="AR44" s="257">
        <v>1</v>
      </c>
      <c r="AS44" s="380"/>
      <c r="AT44" s="260">
        <v>1</v>
      </c>
      <c r="AU44" s="200"/>
      <c r="AV44" s="281">
        <f>IF(AR44=1,AR44-AQ44,IF(AS44=1,0.5-AQ44,IF(AT44=1,0.5-AQ44,0)))</f>
        <v>0</v>
      </c>
      <c r="AW44" s="282">
        <f>AF44*AV44</f>
        <v>0</v>
      </c>
      <c r="AX44" s="171"/>
      <c r="AY44" s="174" t="s">
        <v>204</v>
      </c>
      <c r="AZ44" s="174">
        <v>1</v>
      </c>
      <c r="BA44" s="210">
        <f>AF44*AZ44</f>
        <v>96000</v>
      </c>
      <c r="BB44" s="388" t="s">
        <v>209</v>
      </c>
      <c r="BC44" s="387"/>
      <c r="BD44" s="387"/>
      <c r="BE44" s="387"/>
      <c r="BF44" s="387"/>
    </row>
    <row r="45" spans="1:60" s="202" customFormat="1" ht="15" customHeight="1">
      <c r="A45" s="489"/>
      <c r="B45" s="490"/>
      <c r="C45" s="490"/>
      <c r="D45" s="490"/>
      <c r="E45" s="490"/>
      <c r="F45" s="490"/>
      <c r="G45" s="491"/>
      <c r="H45" s="498"/>
      <c r="I45" s="499"/>
      <c r="J45" s="500"/>
      <c r="K45" s="530" t="s">
        <v>148</v>
      </c>
      <c r="L45" s="531"/>
      <c r="M45" s="531"/>
      <c r="N45" s="531"/>
      <c r="O45" s="531"/>
      <c r="P45" s="531"/>
      <c r="Q45" s="531"/>
      <c r="R45" s="531"/>
      <c r="S45" s="531"/>
      <c r="T45" s="531"/>
      <c r="U45" s="531"/>
      <c r="V45" s="531"/>
      <c r="W45" s="531"/>
      <c r="X45" s="275"/>
      <c r="Y45" s="521">
        <v>1</v>
      </c>
      <c r="Z45" s="522"/>
      <c r="AA45" s="523"/>
      <c r="AB45" s="513">
        <v>96000</v>
      </c>
      <c r="AC45" s="514"/>
      <c r="AD45" s="513"/>
      <c r="AE45" s="514"/>
      <c r="AF45" s="513">
        <f>SUM(AB45,AD45)</f>
        <v>96000</v>
      </c>
      <c r="AG45" s="514"/>
      <c r="AH45" s="515"/>
      <c r="AI45" s="748" t="s">
        <v>174</v>
      </c>
      <c r="AJ45" s="749"/>
      <c r="AK45" s="749"/>
      <c r="AL45" s="749"/>
      <c r="AM45" s="750"/>
      <c r="AN45" s="206"/>
      <c r="AO45" s="279" t="s">
        <v>201</v>
      </c>
      <c r="AP45" s="212">
        <f>AF45*AQ45</f>
        <v>0</v>
      </c>
      <c r="AQ45" s="276">
        <v>0</v>
      </c>
      <c r="AR45" s="260"/>
      <c r="AS45" s="380">
        <v>1</v>
      </c>
      <c r="AT45" s="260">
        <v>1</v>
      </c>
      <c r="AU45" s="200"/>
      <c r="AV45" s="281">
        <f>IF(AR45=1,AR45-AQ45,IF(AS45=1,0.5-AQ45,IF(AT45=1,0.5-AQ45,0)))</f>
        <v>0.5</v>
      </c>
      <c r="AW45" s="282">
        <f>AF45*AV45</f>
        <v>48000</v>
      </c>
      <c r="AX45" s="171"/>
      <c r="AY45" s="174" t="s">
        <v>204</v>
      </c>
      <c r="AZ45" s="174">
        <v>0</v>
      </c>
      <c r="BA45" s="210">
        <f>AF45*AZ45</f>
        <v>0</v>
      </c>
      <c r="BB45" s="389" t="s">
        <v>217</v>
      </c>
      <c r="BC45" s="384"/>
      <c r="BD45" s="384"/>
      <c r="BE45" s="384"/>
      <c r="BF45" s="384"/>
      <c r="BG45" s="384"/>
      <c r="BH45" s="384"/>
    </row>
    <row r="46" spans="1:60" s="202" customFormat="1" ht="15" customHeight="1">
      <c r="A46" s="489"/>
      <c r="B46" s="490"/>
      <c r="C46" s="490"/>
      <c r="D46" s="490"/>
      <c r="E46" s="490"/>
      <c r="F46" s="490"/>
      <c r="G46" s="491"/>
      <c r="H46" s="498"/>
      <c r="I46" s="499"/>
      <c r="J46" s="500"/>
      <c r="K46" s="519" t="s">
        <v>148</v>
      </c>
      <c r="L46" s="520"/>
      <c r="M46" s="520"/>
      <c r="N46" s="520"/>
      <c r="O46" s="520"/>
      <c r="P46" s="520"/>
      <c r="Q46" s="520"/>
      <c r="R46" s="520"/>
      <c r="S46" s="520"/>
      <c r="T46" s="520"/>
      <c r="U46" s="520"/>
      <c r="V46" s="520"/>
      <c r="W46" s="520"/>
      <c r="X46" s="209"/>
      <c r="Y46" s="521">
        <v>1</v>
      </c>
      <c r="Z46" s="522"/>
      <c r="AA46" s="523"/>
      <c r="AB46" s="513">
        <v>96000</v>
      </c>
      <c r="AC46" s="514"/>
      <c r="AD46" s="513"/>
      <c r="AE46" s="514"/>
      <c r="AF46" s="513">
        <f t="shared" si="0"/>
        <v>96000</v>
      </c>
      <c r="AG46" s="514"/>
      <c r="AH46" s="515"/>
      <c r="AI46" s="521"/>
      <c r="AJ46" s="522"/>
      <c r="AK46" s="522"/>
      <c r="AL46" s="522"/>
      <c r="AM46" s="745"/>
      <c r="AN46" s="206"/>
      <c r="AO46" s="184"/>
      <c r="AP46" s="212"/>
      <c r="AQ46" s="276"/>
      <c r="AR46" s="257"/>
      <c r="AS46" s="380"/>
      <c r="AT46" s="260"/>
      <c r="AU46" s="200"/>
      <c r="AV46" s="281"/>
      <c r="AW46" s="282"/>
      <c r="AX46" s="171"/>
      <c r="AY46" s="174"/>
      <c r="AZ46" s="174"/>
      <c r="BA46" s="210"/>
      <c r="BB46" s="201"/>
    </row>
    <row r="47" spans="1:60" s="202" customFormat="1" ht="15" customHeight="1">
      <c r="A47" s="489"/>
      <c r="B47" s="490"/>
      <c r="C47" s="490"/>
      <c r="D47" s="490"/>
      <c r="E47" s="490"/>
      <c r="F47" s="490"/>
      <c r="G47" s="491"/>
      <c r="H47" s="498"/>
      <c r="I47" s="499"/>
      <c r="J47" s="500"/>
      <c r="K47" s="519" t="s">
        <v>148</v>
      </c>
      <c r="L47" s="520"/>
      <c r="M47" s="520"/>
      <c r="N47" s="520"/>
      <c r="O47" s="520"/>
      <c r="P47" s="520"/>
      <c r="Q47" s="520"/>
      <c r="R47" s="520"/>
      <c r="S47" s="520"/>
      <c r="T47" s="520"/>
      <c r="U47" s="520"/>
      <c r="V47" s="520"/>
      <c r="W47" s="520"/>
      <c r="X47" s="209"/>
      <c r="Y47" s="521">
        <v>1</v>
      </c>
      <c r="Z47" s="522"/>
      <c r="AA47" s="523"/>
      <c r="AB47" s="513">
        <v>96000</v>
      </c>
      <c r="AC47" s="514"/>
      <c r="AD47" s="513"/>
      <c r="AE47" s="514"/>
      <c r="AF47" s="513">
        <f t="shared" si="0"/>
        <v>96000</v>
      </c>
      <c r="AG47" s="514"/>
      <c r="AH47" s="515"/>
      <c r="AI47" s="521"/>
      <c r="AJ47" s="522"/>
      <c r="AK47" s="522"/>
      <c r="AL47" s="522"/>
      <c r="AM47" s="745"/>
      <c r="AN47" s="206"/>
      <c r="AO47" s="184"/>
      <c r="AP47" s="212"/>
      <c r="AQ47" s="276"/>
      <c r="AR47" s="257"/>
      <c r="AS47" s="380"/>
      <c r="AT47" s="260"/>
      <c r="AU47" s="200"/>
      <c r="AV47" s="281"/>
      <c r="AW47" s="282"/>
      <c r="AX47" s="171"/>
      <c r="AY47" s="174"/>
      <c r="AZ47" s="174"/>
      <c r="BA47" s="210"/>
      <c r="BB47" s="201"/>
    </row>
    <row r="48" spans="1:60" s="202" customFormat="1" ht="12.75" customHeight="1">
      <c r="A48" s="489"/>
      <c r="B48" s="490"/>
      <c r="C48" s="490"/>
      <c r="D48" s="490"/>
      <c r="E48" s="490"/>
      <c r="F48" s="490"/>
      <c r="G48" s="491"/>
      <c r="H48" s="498"/>
      <c r="I48" s="499"/>
      <c r="J48" s="500"/>
      <c r="K48" s="524" t="s">
        <v>150</v>
      </c>
      <c r="L48" s="736"/>
      <c r="M48" s="736"/>
      <c r="N48" s="736"/>
      <c r="O48" s="736"/>
      <c r="P48" s="736"/>
      <c r="Q48" s="736"/>
      <c r="R48" s="736"/>
      <c r="S48" s="736"/>
      <c r="T48" s="736"/>
      <c r="U48" s="736"/>
      <c r="V48" s="736"/>
      <c r="W48" s="736"/>
      <c r="X48" s="737"/>
      <c r="Y48" s="521">
        <v>1</v>
      </c>
      <c r="Z48" s="535"/>
      <c r="AA48" s="536"/>
      <c r="AB48" s="513">
        <v>80000</v>
      </c>
      <c r="AC48" s="514"/>
      <c r="AD48" s="513"/>
      <c r="AE48" s="514"/>
      <c r="AF48" s="513">
        <f>SUM(AB48,AD48)</f>
        <v>80000</v>
      </c>
      <c r="AG48" s="514"/>
      <c r="AH48" s="515"/>
      <c r="AI48" s="764" t="s">
        <v>177</v>
      </c>
      <c r="AJ48" s="765"/>
      <c r="AK48" s="765"/>
      <c r="AL48" s="765"/>
      <c r="AM48" s="766"/>
      <c r="AN48" s="206"/>
      <c r="AO48" s="279" t="s">
        <v>201</v>
      </c>
      <c r="AP48" s="212">
        <f>AF48*AQ48</f>
        <v>0</v>
      </c>
      <c r="AQ48" s="276">
        <v>0</v>
      </c>
      <c r="AR48" s="260"/>
      <c r="AS48" s="380">
        <v>1</v>
      </c>
      <c r="AT48" s="260">
        <v>1</v>
      </c>
      <c r="AU48" s="200"/>
      <c r="AV48" s="281">
        <f>IF(AR48=1,AR48-AQ48,IF(AS48=1,0.5-AQ48,IF(AT48=1,0.5-AQ48,0)))</f>
        <v>0.5</v>
      </c>
      <c r="AW48" s="282">
        <f>AF48*AV48</f>
        <v>40000</v>
      </c>
      <c r="AX48" s="171"/>
      <c r="AY48" s="174" t="s">
        <v>204</v>
      </c>
      <c r="AZ48" s="174">
        <v>0.5</v>
      </c>
      <c r="BA48" s="210">
        <f t="shared" ref="BA48:BA53" si="5">AF48*AZ48</f>
        <v>40000</v>
      </c>
      <c r="BB48" s="385" t="s">
        <v>208</v>
      </c>
      <c r="BC48" s="386"/>
      <c r="BD48" s="386"/>
      <c r="BE48" s="386"/>
      <c r="BF48" s="386"/>
    </row>
    <row r="49" spans="1:60" s="202" customFormat="1" ht="12.75" customHeight="1">
      <c r="A49" s="489"/>
      <c r="B49" s="490"/>
      <c r="C49" s="490"/>
      <c r="D49" s="490"/>
      <c r="E49" s="490"/>
      <c r="F49" s="490"/>
      <c r="G49" s="491"/>
      <c r="H49" s="498"/>
      <c r="I49" s="499"/>
      <c r="J49" s="500"/>
      <c r="K49" s="530" t="s">
        <v>150</v>
      </c>
      <c r="L49" s="531"/>
      <c r="M49" s="531"/>
      <c r="N49" s="531"/>
      <c r="O49" s="531"/>
      <c r="P49" s="531"/>
      <c r="Q49" s="531"/>
      <c r="R49" s="531"/>
      <c r="S49" s="531"/>
      <c r="T49" s="531"/>
      <c r="U49" s="531"/>
      <c r="V49" s="531"/>
      <c r="W49" s="531"/>
      <c r="X49" s="275"/>
      <c r="Y49" s="521">
        <v>1</v>
      </c>
      <c r="Z49" s="522"/>
      <c r="AA49" s="523"/>
      <c r="AB49" s="513">
        <v>80000</v>
      </c>
      <c r="AC49" s="514"/>
      <c r="AD49" s="513"/>
      <c r="AE49" s="514"/>
      <c r="AF49" s="513">
        <f>SUM(AB49,AD49)</f>
        <v>80000</v>
      </c>
      <c r="AG49" s="514"/>
      <c r="AH49" s="515"/>
      <c r="AI49" s="767" t="s">
        <v>198</v>
      </c>
      <c r="AJ49" s="768"/>
      <c r="AK49" s="768"/>
      <c r="AL49" s="768"/>
      <c r="AM49" s="769"/>
      <c r="AN49" s="206"/>
      <c r="AO49" s="255"/>
      <c r="AP49" s="212">
        <f>AF49*AQ49</f>
        <v>80000</v>
      </c>
      <c r="AQ49" s="276">
        <v>1</v>
      </c>
      <c r="AR49" s="257">
        <v>1</v>
      </c>
      <c r="AS49" s="380"/>
      <c r="AT49" s="260">
        <v>1</v>
      </c>
      <c r="AU49" s="200"/>
      <c r="AV49" s="281">
        <f>IF(AR49=1,AR49-AQ49,IF(AS49=1,0.5-AQ49,IF(AT49=1,0.5-AQ49,0)))</f>
        <v>0</v>
      </c>
      <c r="AW49" s="282">
        <f>AF49*AV49</f>
        <v>0</v>
      </c>
      <c r="AX49" s="171"/>
      <c r="AY49" s="174" t="s">
        <v>204</v>
      </c>
      <c r="AZ49" s="174">
        <v>1</v>
      </c>
      <c r="BA49" s="210">
        <f t="shared" si="5"/>
        <v>80000</v>
      </c>
      <c r="BB49" s="388" t="s">
        <v>209</v>
      </c>
      <c r="BC49" s="387"/>
      <c r="BD49" s="387"/>
      <c r="BE49" s="387"/>
      <c r="BF49" s="387"/>
    </row>
    <row r="50" spans="1:60" s="202" customFormat="1" ht="12.75" customHeight="1">
      <c r="A50" s="489"/>
      <c r="B50" s="490"/>
      <c r="C50" s="490"/>
      <c r="D50" s="490"/>
      <c r="E50" s="490"/>
      <c r="F50" s="490"/>
      <c r="G50" s="491"/>
      <c r="H50" s="498"/>
      <c r="I50" s="499"/>
      <c r="J50" s="500"/>
      <c r="K50" s="746" t="s">
        <v>149</v>
      </c>
      <c r="L50" s="747"/>
      <c r="M50" s="747"/>
      <c r="N50" s="747"/>
      <c r="O50" s="747"/>
      <c r="P50" s="747"/>
      <c r="Q50" s="747"/>
      <c r="R50" s="747"/>
      <c r="S50" s="747"/>
      <c r="T50" s="747"/>
      <c r="U50" s="747"/>
      <c r="V50" s="747"/>
      <c r="W50" s="747"/>
      <c r="X50" s="209"/>
      <c r="Y50" s="521">
        <v>1</v>
      </c>
      <c r="Z50" s="522"/>
      <c r="AA50" s="523"/>
      <c r="AB50" s="513">
        <v>36000</v>
      </c>
      <c r="AC50" s="514"/>
      <c r="AD50" s="513"/>
      <c r="AE50" s="514"/>
      <c r="AF50" s="513">
        <f t="shared" si="0"/>
        <v>36000</v>
      </c>
      <c r="AG50" s="514"/>
      <c r="AH50" s="515"/>
      <c r="AI50" s="748" t="s">
        <v>173</v>
      </c>
      <c r="AJ50" s="749"/>
      <c r="AK50" s="749"/>
      <c r="AL50" s="749"/>
      <c r="AM50" s="750"/>
      <c r="AN50" s="206"/>
      <c r="AO50" s="279" t="s">
        <v>201</v>
      </c>
      <c r="AP50" s="212">
        <f t="shared" si="1"/>
        <v>0</v>
      </c>
      <c r="AQ50" s="276">
        <v>0</v>
      </c>
      <c r="AR50" s="257"/>
      <c r="AS50" s="380">
        <v>1</v>
      </c>
      <c r="AT50" s="260">
        <v>1</v>
      </c>
      <c r="AU50" s="200"/>
      <c r="AV50" s="281">
        <f t="shared" si="4"/>
        <v>0.5</v>
      </c>
      <c r="AW50" s="282">
        <f t="shared" si="3"/>
        <v>18000</v>
      </c>
      <c r="AX50" s="171"/>
      <c r="AY50" s="174" t="s">
        <v>204</v>
      </c>
      <c r="AZ50" s="174">
        <v>0</v>
      </c>
      <c r="BA50" s="210">
        <f t="shared" si="5"/>
        <v>0</v>
      </c>
      <c r="BB50" s="388" t="s">
        <v>206</v>
      </c>
      <c r="BC50" s="387"/>
      <c r="BD50" s="387"/>
      <c r="BE50" s="387"/>
      <c r="BF50" s="387"/>
    </row>
    <row r="51" spans="1:60" s="202" customFormat="1" ht="15" customHeight="1">
      <c r="A51" s="489"/>
      <c r="B51" s="490"/>
      <c r="C51" s="490"/>
      <c r="D51" s="490"/>
      <c r="E51" s="490"/>
      <c r="F51" s="490"/>
      <c r="G51" s="491"/>
      <c r="H51" s="498"/>
      <c r="I51" s="499"/>
      <c r="J51" s="500"/>
      <c r="K51" s="738" t="s">
        <v>149</v>
      </c>
      <c r="L51" s="739"/>
      <c r="M51" s="739"/>
      <c r="N51" s="739"/>
      <c r="O51" s="739"/>
      <c r="P51" s="739"/>
      <c r="Q51" s="739"/>
      <c r="R51" s="739"/>
      <c r="S51" s="739"/>
      <c r="T51" s="739"/>
      <c r="U51" s="739"/>
      <c r="V51" s="739"/>
      <c r="W51" s="739"/>
      <c r="X51" s="427"/>
      <c r="Y51" s="740">
        <v>1</v>
      </c>
      <c r="Z51" s="741"/>
      <c r="AA51" s="742"/>
      <c r="AB51" s="743">
        <v>36000</v>
      </c>
      <c r="AC51" s="744"/>
      <c r="AD51" s="743"/>
      <c r="AE51" s="744"/>
      <c r="AF51" s="743">
        <f t="shared" si="0"/>
        <v>36000</v>
      </c>
      <c r="AG51" s="744"/>
      <c r="AH51" s="757"/>
      <c r="AI51" s="758" t="s">
        <v>44</v>
      </c>
      <c r="AJ51" s="759"/>
      <c r="AK51" s="759"/>
      <c r="AL51" s="759"/>
      <c r="AM51" s="760"/>
      <c r="AN51" s="206"/>
      <c r="AO51" s="428" t="s">
        <v>218</v>
      </c>
      <c r="AP51" s="212">
        <f t="shared" si="1"/>
        <v>0</v>
      </c>
      <c r="AQ51" s="276">
        <v>0</v>
      </c>
      <c r="AR51" s="257">
        <v>1</v>
      </c>
      <c r="AS51" s="380"/>
      <c r="AT51" s="260">
        <v>1</v>
      </c>
      <c r="AU51" s="200"/>
      <c r="AV51" s="281">
        <f t="shared" si="4"/>
        <v>1</v>
      </c>
      <c r="AW51" s="282">
        <f t="shared" si="3"/>
        <v>36000</v>
      </c>
      <c r="AX51" s="171"/>
      <c r="AY51" s="174" t="s">
        <v>204</v>
      </c>
      <c r="AZ51" s="174">
        <v>0</v>
      </c>
      <c r="BA51" s="210">
        <f t="shared" si="5"/>
        <v>0</v>
      </c>
      <c r="BB51" s="388" t="s">
        <v>206</v>
      </c>
      <c r="BC51" s="387"/>
      <c r="BD51" s="387"/>
      <c r="BE51" s="387"/>
      <c r="BF51" s="387"/>
    </row>
    <row r="52" spans="1:60" s="202" customFormat="1" ht="12.75" customHeight="1">
      <c r="A52" s="489"/>
      <c r="B52" s="490"/>
      <c r="C52" s="490"/>
      <c r="D52" s="490"/>
      <c r="E52" s="490"/>
      <c r="F52" s="490"/>
      <c r="G52" s="491"/>
      <c r="H52" s="498"/>
      <c r="I52" s="499"/>
      <c r="J52" s="500"/>
      <c r="K52" s="530" t="s">
        <v>149</v>
      </c>
      <c r="L52" s="531"/>
      <c r="M52" s="531"/>
      <c r="N52" s="531"/>
      <c r="O52" s="531"/>
      <c r="P52" s="531"/>
      <c r="Q52" s="531"/>
      <c r="R52" s="531"/>
      <c r="S52" s="531"/>
      <c r="T52" s="531"/>
      <c r="U52" s="531"/>
      <c r="V52" s="531"/>
      <c r="W52" s="531"/>
      <c r="X52" s="275"/>
      <c r="Y52" s="521">
        <v>1</v>
      </c>
      <c r="Z52" s="522"/>
      <c r="AA52" s="523"/>
      <c r="AB52" s="513">
        <v>36000</v>
      </c>
      <c r="AC52" s="514"/>
      <c r="AD52" s="513"/>
      <c r="AE52" s="514"/>
      <c r="AF52" s="513">
        <f t="shared" ref="AF52" si="6">SUM(AB52,AD52)</f>
        <v>36000</v>
      </c>
      <c r="AG52" s="514"/>
      <c r="AH52" s="515"/>
      <c r="AI52" s="761" t="s">
        <v>176</v>
      </c>
      <c r="AJ52" s="762"/>
      <c r="AK52" s="762"/>
      <c r="AL52" s="762"/>
      <c r="AM52" s="763"/>
      <c r="AN52" s="206"/>
      <c r="AO52" s="279" t="s">
        <v>201</v>
      </c>
      <c r="AP52" s="212">
        <f>AF52*AQ52</f>
        <v>0</v>
      </c>
      <c r="AQ52" s="276">
        <v>0</v>
      </c>
      <c r="AR52" s="260"/>
      <c r="AS52" s="380">
        <v>1</v>
      </c>
      <c r="AT52" s="260">
        <v>1</v>
      </c>
      <c r="AU52" s="200"/>
      <c r="AV52" s="281">
        <f>IF(AR52=1,AR52-AQ52,IF(AS52=1,0.5-AQ52,IF(AT52=1,0.5-AQ52,0)))</f>
        <v>0.5</v>
      </c>
      <c r="AW52" s="282">
        <f>AF52*AV52</f>
        <v>18000</v>
      </c>
      <c r="AX52" s="171"/>
      <c r="AY52" s="174" t="s">
        <v>204</v>
      </c>
      <c r="AZ52" s="174">
        <v>0.5</v>
      </c>
      <c r="BA52" s="210">
        <f t="shared" si="5"/>
        <v>18000</v>
      </c>
      <c r="BB52" s="385" t="s">
        <v>208</v>
      </c>
      <c r="BC52" s="386"/>
      <c r="BD52" s="386"/>
      <c r="BE52" s="386"/>
      <c r="BF52" s="386"/>
    </row>
    <row r="53" spans="1:60" s="202" customFormat="1" ht="15" customHeight="1">
      <c r="A53" s="489"/>
      <c r="B53" s="490"/>
      <c r="C53" s="490"/>
      <c r="D53" s="490"/>
      <c r="E53" s="490"/>
      <c r="F53" s="490"/>
      <c r="G53" s="491"/>
      <c r="H53" s="498"/>
      <c r="I53" s="499"/>
      <c r="J53" s="500"/>
      <c r="K53" s="530" t="s">
        <v>149</v>
      </c>
      <c r="L53" s="531"/>
      <c r="M53" s="531"/>
      <c r="N53" s="531"/>
      <c r="O53" s="531"/>
      <c r="P53" s="531"/>
      <c r="Q53" s="531"/>
      <c r="R53" s="531"/>
      <c r="S53" s="531"/>
      <c r="T53" s="531"/>
      <c r="U53" s="531"/>
      <c r="V53" s="531"/>
      <c r="W53" s="531"/>
      <c r="X53" s="211"/>
      <c r="Y53" s="521">
        <v>1</v>
      </c>
      <c r="Z53" s="522"/>
      <c r="AA53" s="523"/>
      <c r="AB53" s="513">
        <v>36000</v>
      </c>
      <c r="AC53" s="514"/>
      <c r="AD53" s="513"/>
      <c r="AE53" s="514"/>
      <c r="AF53" s="513">
        <f t="shared" ref="AF53:AF64" si="7">SUM(AB53,AD53)</f>
        <v>36000</v>
      </c>
      <c r="AG53" s="514"/>
      <c r="AH53" s="515"/>
      <c r="AI53" s="764" t="s">
        <v>175</v>
      </c>
      <c r="AJ53" s="765"/>
      <c r="AK53" s="765"/>
      <c r="AL53" s="765"/>
      <c r="AM53" s="766"/>
      <c r="AN53" s="206"/>
      <c r="AO53" s="279" t="s">
        <v>201</v>
      </c>
      <c r="AP53" s="212">
        <f>AF53*AQ53</f>
        <v>0</v>
      </c>
      <c r="AQ53" s="276">
        <v>0</v>
      </c>
      <c r="AR53" s="260"/>
      <c r="AS53" s="380">
        <v>1</v>
      </c>
      <c r="AT53" s="260">
        <v>1</v>
      </c>
      <c r="AU53" s="200"/>
      <c r="AV53" s="281">
        <f>IF(AR53=1,AR53-AQ53,IF(AS53=1,0.5-AQ53,IF(AT53=1,0.5-AQ53,0)))</f>
        <v>0.5</v>
      </c>
      <c r="AW53" s="282">
        <f>AF53*AV53</f>
        <v>18000</v>
      </c>
      <c r="AX53" s="171"/>
      <c r="AY53" s="174" t="s">
        <v>204</v>
      </c>
      <c r="AZ53" s="174">
        <v>0.5</v>
      </c>
      <c r="BA53" s="210">
        <f t="shared" si="5"/>
        <v>18000</v>
      </c>
      <c r="BB53" s="385" t="s">
        <v>208</v>
      </c>
      <c r="BC53" s="386"/>
      <c r="BD53" s="386"/>
      <c r="BE53" s="386"/>
      <c r="BF53" s="386"/>
    </row>
    <row r="54" spans="1:60" s="268" customFormat="1" ht="12.75" customHeight="1">
      <c r="A54" s="489"/>
      <c r="B54" s="490"/>
      <c r="C54" s="490"/>
      <c r="D54" s="490"/>
      <c r="E54" s="490"/>
      <c r="F54" s="490"/>
      <c r="G54" s="491"/>
      <c r="H54" s="498"/>
      <c r="I54" s="499"/>
      <c r="J54" s="500"/>
      <c r="K54" s="519" t="s">
        <v>149</v>
      </c>
      <c r="L54" s="520"/>
      <c r="M54" s="520"/>
      <c r="N54" s="520"/>
      <c r="O54" s="520"/>
      <c r="P54" s="520"/>
      <c r="Q54" s="520"/>
      <c r="R54" s="520"/>
      <c r="S54" s="520"/>
      <c r="T54" s="520"/>
      <c r="U54" s="520"/>
      <c r="V54" s="520"/>
      <c r="W54" s="520"/>
      <c r="X54" s="275"/>
      <c r="Y54" s="521">
        <v>1</v>
      </c>
      <c r="Z54" s="522"/>
      <c r="AA54" s="523"/>
      <c r="AB54" s="513">
        <v>36000</v>
      </c>
      <c r="AC54" s="514"/>
      <c r="AD54" s="513"/>
      <c r="AE54" s="514"/>
      <c r="AF54" s="513">
        <f t="shared" si="7"/>
        <v>36000</v>
      </c>
      <c r="AG54" s="514"/>
      <c r="AH54" s="515"/>
      <c r="AI54" s="770"/>
      <c r="AJ54" s="771"/>
      <c r="AK54" s="771"/>
      <c r="AL54" s="771"/>
      <c r="AM54" s="772"/>
      <c r="AN54" s="206"/>
      <c r="AO54" s="184"/>
      <c r="AP54" s="212"/>
      <c r="AQ54" s="276"/>
      <c r="AR54" s="257"/>
      <c r="AS54" s="380"/>
      <c r="AT54" s="260"/>
      <c r="AU54" s="200"/>
      <c r="AV54" s="281"/>
      <c r="AW54" s="282"/>
      <c r="AX54" s="171"/>
      <c r="AY54" s="174"/>
      <c r="AZ54" s="174"/>
      <c r="BA54" s="210"/>
      <c r="BB54" s="201"/>
    </row>
    <row r="55" spans="1:60" s="202" customFormat="1" ht="12.75" customHeight="1" thickBot="1">
      <c r="A55" s="492"/>
      <c r="B55" s="493"/>
      <c r="C55" s="493"/>
      <c r="D55" s="493"/>
      <c r="E55" s="493"/>
      <c r="F55" s="493"/>
      <c r="G55" s="494"/>
      <c r="H55" s="501"/>
      <c r="I55" s="502"/>
      <c r="J55" s="503"/>
      <c r="K55" s="519" t="s">
        <v>149</v>
      </c>
      <c r="L55" s="520"/>
      <c r="M55" s="520"/>
      <c r="N55" s="520"/>
      <c r="O55" s="520"/>
      <c r="P55" s="520"/>
      <c r="Q55" s="520"/>
      <c r="R55" s="520"/>
      <c r="S55" s="520"/>
      <c r="T55" s="520"/>
      <c r="U55" s="520"/>
      <c r="V55" s="520"/>
      <c r="W55" s="520"/>
      <c r="X55" s="209"/>
      <c r="Y55" s="521">
        <v>1</v>
      </c>
      <c r="Z55" s="522"/>
      <c r="AA55" s="523"/>
      <c r="AB55" s="513">
        <v>36000</v>
      </c>
      <c r="AC55" s="514"/>
      <c r="AD55" s="513"/>
      <c r="AE55" s="514"/>
      <c r="AF55" s="513">
        <f t="shared" si="7"/>
        <v>36000</v>
      </c>
      <c r="AG55" s="514"/>
      <c r="AH55" s="515"/>
      <c r="AI55" s="770"/>
      <c r="AJ55" s="771"/>
      <c r="AK55" s="771"/>
      <c r="AL55" s="771"/>
      <c r="AM55" s="772"/>
      <c r="AN55" s="206"/>
      <c r="AO55" s="184"/>
      <c r="AP55" s="212"/>
      <c r="AQ55" s="276"/>
      <c r="AR55" s="257"/>
      <c r="AS55" s="380"/>
      <c r="AT55" s="260"/>
      <c r="AU55" s="200"/>
      <c r="AV55" s="281"/>
      <c r="AW55" s="282"/>
      <c r="AX55" s="171"/>
      <c r="AY55" s="174"/>
      <c r="AZ55" s="174"/>
      <c r="BA55" s="210"/>
      <c r="BB55" s="201"/>
    </row>
    <row r="56" spans="1:60" s="202" customFormat="1" ht="12.75" customHeight="1">
      <c r="A56" s="486" t="s">
        <v>157</v>
      </c>
      <c r="B56" s="487"/>
      <c r="C56" s="487"/>
      <c r="D56" s="487"/>
      <c r="E56" s="487"/>
      <c r="F56" s="487"/>
      <c r="G56" s="488"/>
      <c r="H56" s="495" t="s">
        <v>151</v>
      </c>
      <c r="I56" s="496"/>
      <c r="J56" s="497"/>
      <c r="K56" s="728" t="s">
        <v>147</v>
      </c>
      <c r="L56" s="729"/>
      <c r="M56" s="729"/>
      <c r="N56" s="729"/>
      <c r="O56" s="729"/>
      <c r="P56" s="729"/>
      <c r="Q56" s="729"/>
      <c r="R56" s="729"/>
      <c r="S56" s="729"/>
      <c r="T56" s="729"/>
      <c r="U56" s="729"/>
      <c r="V56" s="729"/>
      <c r="W56" s="729"/>
      <c r="X56" s="730"/>
      <c r="Y56" s="731">
        <v>1</v>
      </c>
      <c r="Z56" s="732"/>
      <c r="AA56" s="733"/>
      <c r="AB56" s="734">
        <v>140000</v>
      </c>
      <c r="AC56" s="735"/>
      <c r="AD56" s="734">
        <f>PRODUCT(AB56,1/10)</f>
        <v>14000</v>
      </c>
      <c r="AE56" s="735"/>
      <c r="AF56" s="734">
        <f t="shared" si="7"/>
        <v>154000</v>
      </c>
      <c r="AG56" s="735"/>
      <c r="AH56" s="751"/>
      <c r="AI56" s="752" t="s">
        <v>55</v>
      </c>
      <c r="AJ56" s="753"/>
      <c r="AK56" s="753"/>
      <c r="AL56" s="753"/>
      <c r="AM56" s="754"/>
      <c r="AN56" s="206"/>
      <c r="AO56" s="255"/>
      <c r="AP56" s="212">
        <f t="shared" ref="AP56:AP62" si="8">AF56*AQ56</f>
        <v>77000</v>
      </c>
      <c r="AQ56" s="276">
        <v>0.5</v>
      </c>
      <c r="AR56" s="257">
        <v>1</v>
      </c>
      <c r="AS56" s="380"/>
      <c r="AT56" s="260">
        <v>1</v>
      </c>
      <c r="AU56" s="200"/>
      <c r="AV56" s="281">
        <f t="shared" ref="AV56:AV62" si="9">IF(AR56=1,AR56-AQ56,IF(AS56=1,0.5-AQ56,IF(AT56=1,0.5-AQ56,0)))</f>
        <v>0.5</v>
      </c>
      <c r="AW56" s="282">
        <f t="shared" ref="AW56:AW62" si="10">AF56*AV56</f>
        <v>77000</v>
      </c>
      <c r="AX56" s="171"/>
      <c r="AY56" s="174" t="s">
        <v>204</v>
      </c>
      <c r="AZ56" s="174">
        <v>1</v>
      </c>
      <c r="BA56" s="210">
        <f t="shared" ref="BA56:BA62" si="11">AF56*AZ56</f>
        <v>154000</v>
      </c>
      <c r="BB56" s="386" t="s">
        <v>215</v>
      </c>
      <c r="BC56" s="386"/>
      <c r="BD56" s="386"/>
      <c r="BE56" s="386"/>
      <c r="BF56" s="386"/>
    </row>
    <row r="57" spans="1:60" s="278" customFormat="1" ht="12.75">
      <c r="A57" s="489"/>
      <c r="B57" s="490"/>
      <c r="C57" s="490"/>
      <c r="D57" s="490"/>
      <c r="E57" s="490"/>
      <c r="F57" s="490"/>
      <c r="G57" s="491"/>
      <c r="H57" s="498"/>
      <c r="I57" s="499"/>
      <c r="J57" s="500"/>
      <c r="K57" s="714" t="s">
        <v>144</v>
      </c>
      <c r="L57" s="715"/>
      <c r="M57" s="715"/>
      <c r="N57" s="715"/>
      <c r="O57" s="715"/>
      <c r="P57" s="715"/>
      <c r="Q57" s="715"/>
      <c r="R57" s="715"/>
      <c r="S57" s="715"/>
      <c r="T57" s="715"/>
      <c r="U57" s="715"/>
      <c r="V57" s="715"/>
      <c r="W57" s="715"/>
      <c r="X57" s="716"/>
      <c r="Y57" s="717">
        <v>1</v>
      </c>
      <c r="Z57" s="717"/>
      <c r="AA57" s="717"/>
      <c r="AB57" s="718">
        <v>100000</v>
      </c>
      <c r="AC57" s="719"/>
      <c r="AD57" s="718"/>
      <c r="AE57" s="719"/>
      <c r="AF57" s="720">
        <f t="shared" si="7"/>
        <v>100000</v>
      </c>
      <c r="AG57" s="721"/>
      <c r="AH57" s="722"/>
      <c r="AI57" s="779" t="s">
        <v>171</v>
      </c>
      <c r="AJ57" s="780"/>
      <c r="AK57" s="780"/>
      <c r="AL57" s="780"/>
      <c r="AM57" s="781"/>
      <c r="AN57" s="206"/>
      <c r="AO57" s="382" t="s">
        <v>201</v>
      </c>
      <c r="AP57" s="212">
        <f t="shared" si="8"/>
        <v>0</v>
      </c>
      <c r="AQ57" s="276">
        <v>0</v>
      </c>
      <c r="AR57" s="322"/>
      <c r="AS57" s="379">
        <v>1</v>
      </c>
      <c r="AT57" s="322">
        <v>1</v>
      </c>
      <c r="AU57" s="200"/>
      <c r="AV57" s="281">
        <f t="shared" si="9"/>
        <v>0.5</v>
      </c>
      <c r="AW57" s="282">
        <f t="shared" si="10"/>
        <v>50000</v>
      </c>
      <c r="AX57" s="171"/>
      <c r="AY57" s="174" t="s">
        <v>204</v>
      </c>
      <c r="AZ57" s="174">
        <v>0.5</v>
      </c>
      <c r="BA57" s="210">
        <f>AF57*AZ57</f>
        <v>50000</v>
      </c>
      <c r="BB57" s="385" t="s">
        <v>208</v>
      </c>
      <c r="BC57" s="386"/>
      <c r="BD57" s="386"/>
      <c r="BE57" s="386"/>
      <c r="BF57" s="386"/>
    </row>
    <row r="58" spans="1:60" s="202" customFormat="1" ht="12.75" customHeight="1">
      <c r="A58" s="489"/>
      <c r="B58" s="490"/>
      <c r="C58" s="490"/>
      <c r="D58" s="490"/>
      <c r="E58" s="490"/>
      <c r="F58" s="490"/>
      <c r="G58" s="491"/>
      <c r="H58" s="498"/>
      <c r="I58" s="499"/>
      <c r="J58" s="500"/>
      <c r="K58" s="524" t="s">
        <v>158</v>
      </c>
      <c r="L58" s="525"/>
      <c r="M58" s="525"/>
      <c r="N58" s="525"/>
      <c r="O58" s="525"/>
      <c r="P58" s="525"/>
      <c r="Q58" s="525"/>
      <c r="R58" s="525"/>
      <c r="S58" s="525"/>
      <c r="T58" s="525"/>
      <c r="U58" s="525"/>
      <c r="V58" s="525"/>
      <c r="W58" s="525"/>
      <c r="X58" s="526"/>
      <c r="Y58" s="783">
        <v>1</v>
      </c>
      <c r="Z58" s="784"/>
      <c r="AA58" s="785"/>
      <c r="AB58" s="773">
        <v>96000</v>
      </c>
      <c r="AC58" s="774"/>
      <c r="AD58" s="773"/>
      <c r="AE58" s="774"/>
      <c r="AF58" s="773">
        <f t="shared" si="7"/>
        <v>96000</v>
      </c>
      <c r="AG58" s="774"/>
      <c r="AH58" s="786"/>
      <c r="AI58" s="787" t="s">
        <v>185</v>
      </c>
      <c r="AJ58" s="788"/>
      <c r="AK58" s="788"/>
      <c r="AL58" s="788"/>
      <c r="AM58" s="789"/>
      <c r="AN58" s="206"/>
      <c r="AO58" s="279" t="s">
        <v>201</v>
      </c>
      <c r="AP58" s="212">
        <f t="shared" si="8"/>
        <v>0</v>
      </c>
      <c r="AQ58" s="276">
        <v>0</v>
      </c>
      <c r="AR58" s="260"/>
      <c r="AS58" s="380">
        <v>1</v>
      </c>
      <c r="AT58" s="260">
        <v>1</v>
      </c>
      <c r="AU58" s="200"/>
      <c r="AV58" s="281">
        <f t="shared" si="9"/>
        <v>0.5</v>
      </c>
      <c r="AW58" s="282">
        <f t="shared" si="10"/>
        <v>48000</v>
      </c>
      <c r="AX58" s="171"/>
      <c r="AY58" s="174" t="s">
        <v>204</v>
      </c>
      <c r="AZ58" s="174">
        <v>0.5</v>
      </c>
      <c r="BA58" s="210">
        <f t="shared" si="11"/>
        <v>48000</v>
      </c>
      <c r="BB58" s="385" t="s">
        <v>208</v>
      </c>
      <c r="BC58" s="386"/>
      <c r="BD58" s="386"/>
      <c r="BE58" s="386"/>
      <c r="BF58" s="386"/>
    </row>
    <row r="59" spans="1:60" s="202" customFormat="1" ht="12.75" customHeight="1">
      <c r="A59" s="489"/>
      <c r="B59" s="490"/>
      <c r="C59" s="490"/>
      <c r="D59" s="490"/>
      <c r="E59" s="490"/>
      <c r="F59" s="490"/>
      <c r="G59" s="491"/>
      <c r="H59" s="498"/>
      <c r="I59" s="499"/>
      <c r="J59" s="500"/>
      <c r="K59" s="524" t="s">
        <v>158</v>
      </c>
      <c r="L59" s="525"/>
      <c r="M59" s="525"/>
      <c r="N59" s="525"/>
      <c r="O59" s="525"/>
      <c r="P59" s="525"/>
      <c r="Q59" s="525"/>
      <c r="R59" s="525"/>
      <c r="S59" s="525"/>
      <c r="T59" s="525"/>
      <c r="U59" s="525"/>
      <c r="V59" s="525"/>
      <c r="W59" s="525"/>
      <c r="X59" s="526"/>
      <c r="Y59" s="521">
        <v>1</v>
      </c>
      <c r="Z59" s="522"/>
      <c r="AA59" s="523"/>
      <c r="AB59" s="513">
        <v>96000</v>
      </c>
      <c r="AC59" s="514"/>
      <c r="AD59" s="513"/>
      <c r="AE59" s="514"/>
      <c r="AF59" s="513">
        <f t="shared" si="7"/>
        <v>96000</v>
      </c>
      <c r="AG59" s="514"/>
      <c r="AH59" s="515"/>
      <c r="AI59" s="764" t="s">
        <v>186</v>
      </c>
      <c r="AJ59" s="765"/>
      <c r="AK59" s="765"/>
      <c r="AL59" s="765"/>
      <c r="AM59" s="766"/>
      <c r="AN59" s="206"/>
      <c r="AO59" s="279" t="s">
        <v>201</v>
      </c>
      <c r="AP59" s="212">
        <f t="shared" si="8"/>
        <v>0</v>
      </c>
      <c r="AQ59" s="276">
        <v>0</v>
      </c>
      <c r="AR59" s="260"/>
      <c r="AS59" s="380">
        <v>1</v>
      </c>
      <c r="AT59" s="260">
        <v>1</v>
      </c>
      <c r="AU59" s="200"/>
      <c r="AV59" s="281">
        <f t="shared" si="9"/>
        <v>0.5</v>
      </c>
      <c r="AW59" s="282">
        <f t="shared" si="10"/>
        <v>48000</v>
      </c>
      <c r="AX59" s="171"/>
      <c r="AY59" s="174" t="s">
        <v>204</v>
      </c>
      <c r="AZ59" s="174">
        <v>0.5</v>
      </c>
      <c r="BA59" s="210">
        <f t="shared" si="11"/>
        <v>48000</v>
      </c>
      <c r="BB59" s="385" t="s">
        <v>208</v>
      </c>
      <c r="BC59" s="386"/>
      <c r="BD59" s="386"/>
      <c r="BE59" s="386"/>
      <c r="BF59" s="386"/>
    </row>
    <row r="60" spans="1:60" s="202" customFormat="1" ht="12.75" customHeight="1">
      <c r="A60" s="489"/>
      <c r="B60" s="490"/>
      <c r="C60" s="490"/>
      <c r="D60" s="490"/>
      <c r="E60" s="490"/>
      <c r="F60" s="490"/>
      <c r="G60" s="491"/>
      <c r="H60" s="498"/>
      <c r="I60" s="499"/>
      <c r="J60" s="500"/>
      <c r="K60" s="524" t="s">
        <v>158</v>
      </c>
      <c r="L60" s="525"/>
      <c r="M60" s="525"/>
      <c r="N60" s="525"/>
      <c r="O60" s="525"/>
      <c r="P60" s="525"/>
      <c r="Q60" s="525"/>
      <c r="R60" s="525"/>
      <c r="S60" s="525"/>
      <c r="T60" s="525"/>
      <c r="U60" s="525"/>
      <c r="V60" s="525"/>
      <c r="W60" s="525"/>
      <c r="X60" s="526"/>
      <c r="Y60" s="521">
        <v>1</v>
      </c>
      <c r="Z60" s="522"/>
      <c r="AA60" s="523"/>
      <c r="AB60" s="513">
        <v>96000</v>
      </c>
      <c r="AC60" s="514"/>
      <c r="AD60" s="513"/>
      <c r="AE60" s="514"/>
      <c r="AF60" s="513">
        <f t="shared" si="7"/>
        <v>96000</v>
      </c>
      <c r="AG60" s="514"/>
      <c r="AH60" s="515"/>
      <c r="AI60" s="507" t="s">
        <v>188</v>
      </c>
      <c r="AJ60" s="508"/>
      <c r="AK60" s="508"/>
      <c r="AL60" s="508"/>
      <c r="AM60" s="509"/>
      <c r="AN60" s="206"/>
      <c r="AO60" s="279" t="s">
        <v>201</v>
      </c>
      <c r="AP60" s="212">
        <f t="shared" si="8"/>
        <v>0</v>
      </c>
      <c r="AQ60" s="276">
        <v>0</v>
      </c>
      <c r="AR60" s="257"/>
      <c r="AS60" s="380">
        <v>1</v>
      </c>
      <c r="AT60" s="260">
        <v>1</v>
      </c>
      <c r="AU60" s="200"/>
      <c r="AV60" s="281">
        <f t="shared" si="9"/>
        <v>0.5</v>
      </c>
      <c r="AW60" s="282">
        <f t="shared" si="10"/>
        <v>48000</v>
      </c>
      <c r="AX60" s="171"/>
      <c r="AY60" s="174" t="s">
        <v>204</v>
      </c>
      <c r="AZ60" s="174">
        <v>0</v>
      </c>
      <c r="BA60" s="210">
        <f t="shared" si="11"/>
        <v>0</v>
      </c>
      <c r="BB60" s="389" t="s">
        <v>217</v>
      </c>
      <c r="BC60" s="384"/>
      <c r="BD60" s="384"/>
      <c r="BE60" s="384"/>
      <c r="BF60" s="384"/>
      <c r="BG60" s="384"/>
      <c r="BH60" s="384"/>
    </row>
    <row r="61" spans="1:60" s="202" customFormat="1" ht="15" customHeight="1">
      <c r="A61" s="489"/>
      <c r="B61" s="490"/>
      <c r="C61" s="490"/>
      <c r="D61" s="490"/>
      <c r="E61" s="490"/>
      <c r="F61" s="490"/>
      <c r="G61" s="491"/>
      <c r="H61" s="498"/>
      <c r="I61" s="499"/>
      <c r="J61" s="500"/>
      <c r="K61" s="524" t="s">
        <v>158</v>
      </c>
      <c r="L61" s="525"/>
      <c r="M61" s="525"/>
      <c r="N61" s="525"/>
      <c r="O61" s="525"/>
      <c r="P61" s="525"/>
      <c r="Q61" s="525"/>
      <c r="R61" s="525"/>
      <c r="S61" s="525"/>
      <c r="T61" s="525"/>
      <c r="U61" s="525"/>
      <c r="V61" s="525"/>
      <c r="W61" s="525"/>
      <c r="X61" s="526"/>
      <c r="Y61" s="521">
        <v>1</v>
      </c>
      <c r="Z61" s="522"/>
      <c r="AA61" s="523"/>
      <c r="AB61" s="513">
        <v>96000</v>
      </c>
      <c r="AC61" s="514"/>
      <c r="AD61" s="513"/>
      <c r="AE61" s="514"/>
      <c r="AF61" s="513">
        <f t="shared" si="7"/>
        <v>96000</v>
      </c>
      <c r="AG61" s="514"/>
      <c r="AH61" s="515"/>
      <c r="AI61" s="507" t="s">
        <v>187</v>
      </c>
      <c r="AJ61" s="508"/>
      <c r="AK61" s="508"/>
      <c r="AL61" s="508"/>
      <c r="AM61" s="509"/>
      <c r="AN61" s="206"/>
      <c r="AO61" s="279" t="s">
        <v>201</v>
      </c>
      <c r="AP61" s="212">
        <f t="shared" si="8"/>
        <v>0</v>
      </c>
      <c r="AQ61" s="276">
        <v>0</v>
      </c>
      <c r="AR61" s="257"/>
      <c r="AS61" s="380">
        <v>1</v>
      </c>
      <c r="AT61" s="260">
        <v>1</v>
      </c>
      <c r="AU61" s="200"/>
      <c r="AV61" s="281">
        <f t="shared" si="9"/>
        <v>0.5</v>
      </c>
      <c r="AW61" s="282">
        <f t="shared" si="10"/>
        <v>48000</v>
      </c>
      <c r="AX61" s="171"/>
      <c r="AY61" s="174" t="s">
        <v>204</v>
      </c>
      <c r="AZ61" s="174">
        <v>0.5</v>
      </c>
      <c r="BA61" s="210">
        <f t="shared" si="11"/>
        <v>48000</v>
      </c>
      <c r="BB61" s="385" t="s">
        <v>208</v>
      </c>
      <c r="BC61" s="386"/>
      <c r="BD61" s="386"/>
      <c r="BE61" s="386"/>
      <c r="BF61" s="386"/>
    </row>
    <row r="62" spans="1:60" s="202" customFormat="1" ht="12.75" customHeight="1">
      <c r="A62" s="489"/>
      <c r="B62" s="490"/>
      <c r="C62" s="490"/>
      <c r="D62" s="490"/>
      <c r="E62" s="490"/>
      <c r="F62" s="490"/>
      <c r="G62" s="491"/>
      <c r="H62" s="498"/>
      <c r="I62" s="499"/>
      <c r="J62" s="500"/>
      <c r="K62" s="524" t="s">
        <v>158</v>
      </c>
      <c r="L62" s="525"/>
      <c r="M62" s="525"/>
      <c r="N62" s="525"/>
      <c r="O62" s="525"/>
      <c r="P62" s="525"/>
      <c r="Q62" s="525"/>
      <c r="R62" s="525"/>
      <c r="S62" s="525"/>
      <c r="T62" s="525"/>
      <c r="U62" s="525"/>
      <c r="V62" s="525"/>
      <c r="W62" s="525"/>
      <c r="X62" s="526"/>
      <c r="Y62" s="521">
        <v>1</v>
      </c>
      <c r="Z62" s="522"/>
      <c r="AA62" s="523"/>
      <c r="AB62" s="513">
        <v>96000</v>
      </c>
      <c r="AC62" s="514"/>
      <c r="AD62" s="513"/>
      <c r="AE62" s="514"/>
      <c r="AF62" s="513">
        <f t="shared" si="7"/>
        <v>96000</v>
      </c>
      <c r="AG62" s="514"/>
      <c r="AH62" s="515"/>
      <c r="AI62" s="516" t="s">
        <v>30</v>
      </c>
      <c r="AJ62" s="517"/>
      <c r="AK62" s="517"/>
      <c r="AL62" s="517"/>
      <c r="AM62" s="518"/>
      <c r="AN62" s="206"/>
      <c r="AO62" s="279" t="s">
        <v>201</v>
      </c>
      <c r="AP62" s="212">
        <f t="shared" si="8"/>
        <v>0</v>
      </c>
      <c r="AQ62" s="276">
        <v>0</v>
      </c>
      <c r="AR62" s="260">
        <v>1</v>
      </c>
      <c r="AS62" s="380"/>
      <c r="AT62" s="260">
        <v>1</v>
      </c>
      <c r="AU62" s="200"/>
      <c r="AV62" s="281">
        <f t="shared" si="9"/>
        <v>1</v>
      </c>
      <c r="AW62" s="282">
        <f t="shared" si="10"/>
        <v>96000</v>
      </c>
      <c r="AX62" s="171"/>
      <c r="AY62" s="174" t="s">
        <v>204</v>
      </c>
      <c r="AZ62" s="174">
        <v>0</v>
      </c>
      <c r="BA62" s="210">
        <f t="shared" si="11"/>
        <v>0</v>
      </c>
      <c r="BB62" s="388" t="s">
        <v>206</v>
      </c>
      <c r="BC62" s="387"/>
      <c r="BD62" s="387"/>
      <c r="BE62" s="387"/>
      <c r="BF62" s="387"/>
      <c r="BG62" s="278"/>
      <c r="BH62" s="278"/>
    </row>
    <row r="63" spans="1:60" s="202" customFormat="1" ht="12.75" customHeight="1">
      <c r="A63" s="489"/>
      <c r="B63" s="490"/>
      <c r="C63" s="490"/>
      <c r="D63" s="490"/>
      <c r="E63" s="490"/>
      <c r="F63" s="490"/>
      <c r="G63" s="491"/>
      <c r="H63" s="498"/>
      <c r="I63" s="499"/>
      <c r="J63" s="500"/>
      <c r="K63" s="532" t="s">
        <v>158</v>
      </c>
      <c r="L63" s="533"/>
      <c r="M63" s="533"/>
      <c r="N63" s="533"/>
      <c r="O63" s="533"/>
      <c r="P63" s="533"/>
      <c r="Q63" s="533"/>
      <c r="R63" s="533"/>
      <c r="S63" s="533"/>
      <c r="T63" s="533"/>
      <c r="U63" s="533"/>
      <c r="V63" s="533"/>
      <c r="W63" s="533"/>
      <c r="X63" s="534"/>
      <c r="Y63" s="521">
        <v>1</v>
      </c>
      <c r="Z63" s="522"/>
      <c r="AA63" s="523"/>
      <c r="AB63" s="513">
        <v>96000</v>
      </c>
      <c r="AC63" s="514"/>
      <c r="AD63" s="513">
        <f t="shared" ref="AD63" si="12">PRODUCT(AB63,1/10)</f>
        <v>9600</v>
      </c>
      <c r="AE63" s="514"/>
      <c r="AF63" s="513">
        <f t="shared" si="7"/>
        <v>105600</v>
      </c>
      <c r="AG63" s="514"/>
      <c r="AH63" s="515"/>
      <c r="AI63" s="507"/>
      <c r="AJ63" s="508"/>
      <c r="AK63" s="508"/>
      <c r="AL63" s="508"/>
      <c r="AM63" s="509"/>
      <c r="AN63" s="206"/>
      <c r="AO63" s="256"/>
      <c r="AP63" s="212"/>
      <c r="AQ63" s="276"/>
      <c r="AR63" s="260"/>
      <c r="AS63" s="380"/>
      <c r="AT63" s="260"/>
      <c r="AU63" s="200"/>
      <c r="AV63" s="281"/>
      <c r="AW63" s="282"/>
      <c r="AX63" s="171"/>
      <c r="AY63" s="174"/>
      <c r="AZ63" s="174"/>
      <c r="BA63" s="210"/>
      <c r="BB63" s="201"/>
    </row>
    <row r="64" spans="1:60" s="268" customFormat="1" ht="12.75" customHeight="1">
      <c r="A64" s="489"/>
      <c r="B64" s="490"/>
      <c r="C64" s="490"/>
      <c r="D64" s="490"/>
      <c r="E64" s="490"/>
      <c r="F64" s="490"/>
      <c r="G64" s="491"/>
      <c r="H64" s="498"/>
      <c r="I64" s="499"/>
      <c r="J64" s="500"/>
      <c r="K64" s="532" t="s">
        <v>158</v>
      </c>
      <c r="L64" s="533"/>
      <c r="M64" s="533"/>
      <c r="N64" s="533"/>
      <c r="O64" s="533"/>
      <c r="P64" s="533"/>
      <c r="Q64" s="533"/>
      <c r="R64" s="533"/>
      <c r="S64" s="533"/>
      <c r="T64" s="533"/>
      <c r="U64" s="533"/>
      <c r="V64" s="533"/>
      <c r="W64" s="533"/>
      <c r="X64" s="534"/>
      <c r="Y64" s="521">
        <v>1</v>
      </c>
      <c r="Z64" s="535"/>
      <c r="AA64" s="536"/>
      <c r="AB64" s="513">
        <v>96000</v>
      </c>
      <c r="AC64" s="514"/>
      <c r="AD64" s="513">
        <f>PRODUCT(AB64,1/10)</f>
        <v>9600</v>
      </c>
      <c r="AE64" s="514"/>
      <c r="AF64" s="513">
        <f t="shared" si="7"/>
        <v>105600</v>
      </c>
      <c r="AG64" s="514"/>
      <c r="AH64" s="515"/>
      <c r="AI64" s="748"/>
      <c r="AJ64" s="749"/>
      <c r="AK64" s="749"/>
      <c r="AL64" s="749"/>
      <c r="AM64" s="750"/>
      <c r="AN64" s="206"/>
      <c r="AO64" s="255"/>
      <c r="AP64" s="212"/>
      <c r="AQ64" s="276"/>
      <c r="AR64" s="257"/>
      <c r="AS64" s="380"/>
      <c r="AT64" s="260"/>
      <c r="AU64" s="200"/>
      <c r="AV64" s="281"/>
      <c r="AW64" s="282"/>
      <c r="AX64" s="171"/>
      <c r="AY64" s="174"/>
      <c r="AZ64" s="174"/>
      <c r="BA64" s="210"/>
      <c r="BB64" s="201"/>
    </row>
    <row r="65" spans="1:60" s="268" customFormat="1" ht="15" customHeight="1">
      <c r="A65" s="489"/>
      <c r="B65" s="490"/>
      <c r="C65" s="490"/>
      <c r="D65" s="490"/>
      <c r="E65" s="490"/>
      <c r="F65" s="490"/>
      <c r="G65" s="491"/>
      <c r="H65" s="498"/>
      <c r="I65" s="499"/>
      <c r="J65" s="500"/>
      <c r="K65" s="540" t="s">
        <v>132</v>
      </c>
      <c r="L65" s="541"/>
      <c r="M65" s="541"/>
      <c r="N65" s="541"/>
      <c r="O65" s="541"/>
      <c r="P65" s="541"/>
      <c r="Q65" s="541"/>
      <c r="R65" s="541"/>
      <c r="S65" s="541"/>
      <c r="T65" s="541"/>
      <c r="U65" s="541"/>
      <c r="V65" s="541"/>
      <c r="W65" s="541"/>
      <c r="X65" s="541"/>
      <c r="Y65" s="521">
        <v>1</v>
      </c>
      <c r="Z65" s="522"/>
      <c r="AA65" s="523"/>
      <c r="AB65" s="513">
        <v>56000</v>
      </c>
      <c r="AC65" s="514"/>
      <c r="AD65" s="513"/>
      <c r="AE65" s="514"/>
      <c r="AF65" s="513">
        <f t="shared" ref="AF65:AF69" si="13">SUM(AB65,AD65)</f>
        <v>56000</v>
      </c>
      <c r="AG65" s="514"/>
      <c r="AH65" s="515"/>
      <c r="AI65" s="547" t="s">
        <v>178</v>
      </c>
      <c r="AJ65" s="548"/>
      <c r="AK65" s="548"/>
      <c r="AL65" s="548"/>
      <c r="AM65" s="549"/>
      <c r="AN65" s="206"/>
      <c r="AO65" s="279" t="s">
        <v>201</v>
      </c>
      <c r="AP65" s="212">
        <f t="shared" ref="AP65:AP72" si="14">AF65*AQ65</f>
        <v>0</v>
      </c>
      <c r="AQ65" s="276">
        <v>0</v>
      </c>
      <c r="AR65" s="260"/>
      <c r="AS65" s="380">
        <v>1</v>
      </c>
      <c r="AT65" s="260">
        <v>1</v>
      </c>
      <c r="AU65" s="200"/>
      <c r="AV65" s="281">
        <f t="shared" ref="AV65:AV72" si="15">IF(AR65=1,AR65-AQ65,IF(AS65=1,0.5-AQ65,IF(AT65=1,0.5-AQ65,0)))</f>
        <v>0.5</v>
      </c>
      <c r="AW65" s="282">
        <f t="shared" ref="AW65:AW72" si="16">AF65*AV65</f>
        <v>28000</v>
      </c>
      <c r="AX65" s="171"/>
      <c r="AY65" s="174" t="s">
        <v>204</v>
      </c>
      <c r="AZ65" s="174">
        <v>0.5</v>
      </c>
      <c r="BA65" s="210">
        <f t="shared" ref="BA65:BA72" si="17">AF65*AZ65</f>
        <v>28000</v>
      </c>
      <c r="BB65" s="385" t="s">
        <v>208</v>
      </c>
      <c r="BC65" s="386"/>
      <c r="BD65" s="386"/>
      <c r="BE65" s="386"/>
      <c r="BF65" s="386"/>
    </row>
    <row r="66" spans="1:60" s="268" customFormat="1" ht="15" customHeight="1">
      <c r="A66" s="489"/>
      <c r="B66" s="490"/>
      <c r="C66" s="490"/>
      <c r="D66" s="490"/>
      <c r="E66" s="490"/>
      <c r="F66" s="490"/>
      <c r="G66" s="491"/>
      <c r="H66" s="498"/>
      <c r="I66" s="499"/>
      <c r="J66" s="500"/>
      <c r="K66" s="540" t="s">
        <v>132</v>
      </c>
      <c r="L66" s="541"/>
      <c r="M66" s="541"/>
      <c r="N66" s="541"/>
      <c r="O66" s="541"/>
      <c r="P66" s="541"/>
      <c r="Q66" s="541"/>
      <c r="R66" s="541"/>
      <c r="S66" s="541"/>
      <c r="T66" s="541"/>
      <c r="U66" s="541"/>
      <c r="V66" s="541"/>
      <c r="W66" s="541"/>
      <c r="X66" s="541"/>
      <c r="Y66" s="521">
        <v>1</v>
      </c>
      <c r="Z66" s="522"/>
      <c r="AA66" s="523"/>
      <c r="AB66" s="513">
        <v>56000</v>
      </c>
      <c r="AC66" s="514"/>
      <c r="AD66" s="513"/>
      <c r="AE66" s="514"/>
      <c r="AF66" s="513">
        <f t="shared" si="13"/>
        <v>56000</v>
      </c>
      <c r="AG66" s="514"/>
      <c r="AH66" s="515"/>
      <c r="AI66" s="507" t="s">
        <v>179</v>
      </c>
      <c r="AJ66" s="508"/>
      <c r="AK66" s="508"/>
      <c r="AL66" s="508"/>
      <c r="AM66" s="509"/>
      <c r="AN66" s="206"/>
      <c r="AO66" s="279" t="s">
        <v>201</v>
      </c>
      <c r="AP66" s="212">
        <f t="shared" si="14"/>
        <v>0</v>
      </c>
      <c r="AQ66" s="276">
        <v>0</v>
      </c>
      <c r="AR66" s="260"/>
      <c r="AS66" s="380">
        <v>1</v>
      </c>
      <c r="AT66" s="260">
        <v>1</v>
      </c>
      <c r="AU66" s="200"/>
      <c r="AV66" s="281">
        <f t="shared" si="15"/>
        <v>0.5</v>
      </c>
      <c r="AW66" s="282">
        <f t="shared" si="16"/>
        <v>28000</v>
      </c>
      <c r="AX66" s="171"/>
      <c r="AY66" s="174" t="s">
        <v>204</v>
      </c>
      <c r="AZ66" s="174">
        <v>0.5</v>
      </c>
      <c r="BA66" s="210">
        <f t="shared" si="17"/>
        <v>28000</v>
      </c>
      <c r="BB66" s="385" t="s">
        <v>208</v>
      </c>
      <c r="BC66" s="386"/>
      <c r="BD66" s="386"/>
      <c r="BE66" s="386"/>
      <c r="BF66" s="386"/>
    </row>
    <row r="67" spans="1:60" s="268" customFormat="1" ht="15" customHeight="1">
      <c r="A67" s="489"/>
      <c r="B67" s="490"/>
      <c r="C67" s="490"/>
      <c r="D67" s="490"/>
      <c r="E67" s="490"/>
      <c r="F67" s="490"/>
      <c r="G67" s="491"/>
      <c r="H67" s="498"/>
      <c r="I67" s="499"/>
      <c r="J67" s="500"/>
      <c r="K67" s="537" t="s">
        <v>132</v>
      </c>
      <c r="L67" s="538"/>
      <c r="M67" s="538"/>
      <c r="N67" s="538"/>
      <c r="O67" s="538"/>
      <c r="P67" s="538"/>
      <c r="Q67" s="538"/>
      <c r="R67" s="538"/>
      <c r="S67" s="538"/>
      <c r="T67" s="538"/>
      <c r="U67" s="538"/>
      <c r="V67" s="538"/>
      <c r="W67" s="538"/>
      <c r="X67" s="274"/>
      <c r="Y67" s="521">
        <v>1</v>
      </c>
      <c r="Z67" s="522"/>
      <c r="AA67" s="523"/>
      <c r="AB67" s="513">
        <v>56000</v>
      </c>
      <c r="AC67" s="514"/>
      <c r="AD67" s="513"/>
      <c r="AE67" s="514"/>
      <c r="AF67" s="513">
        <f t="shared" si="13"/>
        <v>56000</v>
      </c>
      <c r="AG67" s="514"/>
      <c r="AH67" s="515"/>
      <c r="AI67" s="516" t="s">
        <v>39</v>
      </c>
      <c r="AJ67" s="517"/>
      <c r="AK67" s="517"/>
      <c r="AL67" s="517"/>
      <c r="AM67" s="518"/>
      <c r="AN67" s="206"/>
      <c r="AO67" s="279" t="s">
        <v>201</v>
      </c>
      <c r="AP67" s="212">
        <f t="shared" si="14"/>
        <v>0</v>
      </c>
      <c r="AQ67" s="276">
        <v>0</v>
      </c>
      <c r="AR67" s="260">
        <v>1</v>
      </c>
      <c r="AS67" s="380"/>
      <c r="AT67" s="260">
        <v>1</v>
      </c>
      <c r="AU67" s="200"/>
      <c r="AV67" s="281">
        <f t="shared" si="15"/>
        <v>1</v>
      </c>
      <c r="AW67" s="282">
        <f t="shared" si="16"/>
        <v>56000</v>
      </c>
      <c r="AX67" s="171"/>
      <c r="AY67" s="174" t="s">
        <v>204</v>
      </c>
      <c r="AZ67" s="174">
        <v>0</v>
      </c>
      <c r="BA67" s="210">
        <f t="shared" si="17"/>
        <v>0</v>
      </c>
      <c r="BB67" s="388" t="s">
        <v>206</v>
      </c>
      <c r="BC67" s="387"/>
      <c r="BD67" s="387"/>
      <c r="BE67" s="387"/>
      <c r="BF67" s="387"/>
    </row>
    <row r="68" spans="1:60" s="268" customFormat="1" ht="15" customHeight="1">
      <c r="A68" s="489"/>
      <c r="B68" s="490"/>
      <c r="C68" s="490"/>
      <c r="D68" s="490"/>
      <c r="E68" s="490"/>
      <c r="F68" s="490"/>
      <c r="G68" s="491"/>
      <c r="H68" s="498"/>
      <c r="I68" s="499"/>
      <c r="J68" s="500"/>
      <c r="K68" s="530" t="s">
        <v>132</v>
      </c>
      <c r="L68" s="531"/>
      <c r="M68" s="531"/>
      <c r="N68" s="531"/>
      <c r="O68" s="531"/>
      <c r="P68" s="531"/>
      <c r="Q68" s="531"/>
      <c r="R68" s="531"/>
      <c r="S68" s="531"/>
      <c r="T68" s="531"/>
      <c r="U68" s="531"/>
      <c r="V68" s="531"/>
      <c r="W68" s="539"/>
      <c r="X68" s="274"/>
      <c r="Y68" s="521">
        <v>1</v>
      </c>
      <c r="Z68" s="522"/>
      <c r="AA68" s="523"/>
      <c r="AB68" s="513">
        <v>56000</v>
      </c>
      <c r="AC68" s="514"/>
      <c r="AD68" s="513"/>
      <c r="AE68" s="514"/>
      <c r="AF68" s="513">
        <f t="shared" si="13"/>
        <v>56000</v>
      </c>
      <c r="AG68" s="514"/>
      <c r="AH68" s="515"/>
      <c r="AI68" s="510" t="s">
        <v>180</v>
      </c>
      <c r="AJ68" s="511"/>
      <c r="AK68" s="511"/>
      <c r="AL68" s="511"/>
      <c r="AM68" s="512"/>
      <c r="AN68" s="206"/>
      <c r="AO68" s="279" t="s">
        <v>201</v>
      </c>
      <c r="AP68" s="212">
        <f t="shared" si="14"/>
        <v>0</v>
      </c>
      <c r="AQ68" s="276">
        <v>0</v>
      </c>
      <c r="AR68" s="260"/>
      <c r="AS68" s="380">
        <v>1</v>
      </c>
      <c r="AT68" s="260">
        <v>1</v>
      </c>
      <c r="AU68" s="200"/>
      <c r="AV68" s="281">
        <f t="shared" si="15"/>
        <v>0.5</v>
      </c>
      <c r="AW68" s="282">
        <f t="shared" si="16"/>
        <v>28000</v>
      </c>
      <c r="AX68" s="171"/>
      <c r="AY68" s="174" t="s">
        <v>204</v>
      </c>
      <c r="AZ68" s="174">
        <v>0.5</v>
      </c>
      <c r="BA68" s="210">
        <f t="shared" si="17"/>
        <v>28000</v>
      </c>
      <c r="BB68" s="385" t="s">
        <v>208</v>
      </c>
      <c r="BC68" s="386"/>
      <c r="BD68" s="386"/>
      <c r="BE68" s="386"/>
      <c r="BF68" s="386"/>
    </row>
    <row r="69" spans="1:60" s="278" customFormat="1" ht="12.75" customHeight="1">
      <c r="A69" s="489"/>
      <c r="B69" s="490"/>
      <c r="C69" s="490"/>
      <c r="D69" s="490"/>
      <c r="E69" s="490"/>
      <c r="F69" s="490"/>
      <c r="G69" s="491"/>
      <c r="H69" s="498"/>
      <c r="I69" s="499"/>
      <c r="J69" s="500"/>
      <c r="K69" s="530" t="s">
        <v>132</v>
      </c>
      <c r="L69" s="531"/>
      <c r="M69" s="531"/>
      <c r="N69" s="531"/>
      <c r="O69" s="531"/>
      <c r="P69" s="531"/>
      <c r="Q69" s="531"/>
      <c r="R69" s="531"/>
      <c r="S69" s="531"/>
      <c r="T69" s="531"/>
      <c r="U69" s="531"/>
      <c r="V69" s="531"/>
      <c r="W69" s="539"/>
      <c r="X69" s="277"/>
      <c r="Y69" s="521">
        <v>1</v>
      </c>
      <c r="Z69" s="522"/>
      <c r="AA69" s="523"/>
      <c r="AB69" s="513">
        <v>56000</v>
      </c>
      <c r="AC69" s="514"/>
      <c r="AD69" s="513"/>
      <c r="AE69" s="514"/>
      <c r="AF69" s="513">
        <f t="shared" si="13"/>
        <v>56000</v>
      </c>
      <c r="AG69" s="514"/>
      <c r="AH69" s="515"/>
      <c r="AI69" s="845" t="s">
        <v>183</v>
      </c>
      <c r="AJ69" s="846"/>
      <c r="AK69" s="846"/>
      <c r="AL69" s="846"/>
      <c r="AM69" s="847"/>
      <c r="AN69" s="206"/>
      <c r="AO69" s="279" t="s">
        <v>201</v>
      </c>
      <c r="AP69" s="212">
        <f t="shared" si="14"/>
        <v>0</v>
      </c>
      <c r="AQ69" s="276">
        <v>0</v>
      </c>
      <c r="AR69" s="260"/>
      <c r="AS69" s="380">
        <v>1</v>
      </c>
      <c r="AT69" s="260">
        <v>1</v>
      </c>
      <c r="AU69" s="200"/>
      <c r="AV69" s="281">
        <f t="shared" si="15"/>
        <v>0.5</v>
      </c>
      <c r="AW69" s="282">
        <f t="shared" si="16"/>
        <v>28000</v>
      </c>
      <c r="AX69" s="171"/>
      <c r="AY69" s="174" t="s">
        <v>204</v>
      </c>
      <c r="AZ69" s="174">
        <v>0.5</v>
      </c>
      <c r="BA69" s="210">
        <f t="shared" si="17"/>
        <v>28000</v>
      </c>
      <c r="BB69" s="385" t="s">
        <v>208</v>
      </c>
      <c r="BC69" s="386"/>
      <c r="BD69" s="386"/>
      <c r="BE69" s="386"/>
      <c r="BF69" s="386"/>
    </row>
    <row r="70" spans="1:60" s="202" customFormat="1" ht="12.75" customHeight="1">
      <c r="A70" s="489"/>
      <c r="B70" s="490"/>
      <c r="C70" s="490"/>
      <c r="D70" s="490"/>
      <c r="E70" s="490"/>
      <c r="F70" s="490"/>
      <c r="G70" s="491"/>
      <c r="H70" s="498"/>
      <c r="I70" s="499"/>
      <c r="J70" s="500"/>
      <c r="K70" s="530" t="s">
        <v>132</v>
      </c>
      <c r="L70" s="531"/>
      <c r="M70" s="531"/>
      <c r="N70" s="531"/>
      <c r="O70" s="531"/>
      <c r="P70" s="531"/>
      <c r="Q70" s="531"/>
      <c r="R70" s="531"/>
      <c r="S70" s="531"/>
      <c r="T70" s="531"/>
      <c r="U70" s="531"/>
      <c r="V70" s="531"/>
      <c r="W70" s="539"/>
      <c r="X70" s="277"/>
      <c r="Y70" s="521">
        <v>1</v>
      </c>
      <c r="Z70" s="522"/>
      <c r="AA70" s="523"/>
      <c r="AB70" s="513">
        <v>56000</v>
      </c>
      <c r="AC70" s="514"/>
      <c r="AD70" s="513"/>
      <c r="AE70" s="514"/>
      <c r="AF70" s="513">
        <f t="shared" ref="AF70" si="18">SUM(AB70,AD70)</f>
        <v>56000</v>
      </c>
      <c r="AG70" s="514"/>
      <c r="AH70" s="515"/>
      <c r="AI70" s="770" t="s">
        <v>182</v>
      </c>
      <c r="AJ70" s="771"/>
      <c r="AK70" s="771"/>
      <c r="AL70" s="771"/>
      <c r="AM70" s="772"/>
      <c r="AN70" s="206"/>
      <c r="AO70" s="279" t="s">
        <v>201</v>
      </c>
      <c r="AP70" s="212">
        <f t="shared" si="14"/>
        <v>0</v>
      </c>
      <c r="AQ70" s="276">
        <v>0</v>
      </c>
      <c r="AR70" s="260"/>
      <c r="AS70" s="380">
        <v>1</v>
      </c>
      <c r="AT70" s="260">
        <v>1</v>
      </c>
      <c r="AU70" s="200"/>
      <c r="AV70" s="281">
        <f t="shared" si="15"/>
        <v>0.5</v>
      </c>
      <c r="AW70" s="282">
        <f t="shared" si="16"/>
        <v>28000</v>
      </c>
      <c r="AX70" s="171"/>
      <c r="AY70" s="174" t="s">
        <v>204</v>
      </c>
      <c r="AZ70" s="174">
        <v>0.5</v>
      </c>
      <c r="BA70" s="210">
        <f t="shared" si="17"/>
        <v>28000</v>
      </c>
      <c r="BB70" s="385" t="s">
        <v>208</v>
      </c>
      <c r="BC70" s="386"/>
      <c r="BD70" s="386"/>
      <c r="BE70" s="386"/>
      <c r="BF70" s="386"/>
      <c r="BG70" s="268"/>
      <c r="BH70" s="268"/>
    </row>
    <row r="71" spans="1:60" s="268" customFormat="1" ht="12.75" customHeight="1">
      <c r="A71" s="489"/>
      <c r="B71" s="490"/>
      <c r="C71" s="490"/>
      <c r="D71" s="490"/>
      <c r="E71" s="490"/>
      <c r="F71" s="490"/>
      <c r="G71" s="491"/>
      <c r="H71" s="498"/>
      <c r="I71" s="499"/>
      <c r="J71" s="500"/>
      <c r="K71" s="775" t="s">
        <v>159</v>
      </c>
      <c r="L71" s="776"/>
      <c r="M71" s="776"/>
      <c r="N71" s="776"/>
      <c r="O71" s="776"/>
      <c r="P71" s="776"/>
      <c r="Q71" s="776"/>
      <c r="R71" s="776"/>
      <c r="S71" s="776"/>
      <c r="T71" s="776"/>
      <c r="U71" s="776"/>
      <c r="V71" s="776"/>
      <c r="W71" s="776"/>
      <c r="X71" s="211"/>
      <c r="Y71" s="521">
        <v>1</v>
      </c>
      <c r="Z71" s="522"/>
      <c r="AA71" s="523"/>
      <c r="AB71" s="513">
        <v>36000</v>
      </c>
      <c r="AC71" s="514"/>
      <c r="AD71" s="513"/>
      <c r="AE71" s="514"/>
      <c r="AF71" s="513">
        <f>SUM(AB71,AD71)</f>
        <v>36000</v>
      </c>
      <c r="AG71" s="514"/>
      <c r="AH71" s="515"/>
      <c r="AI71" s="748" t="s">
        <v>47</v>
      </c>
      <c r="AJ71" s="749"/>
      <c r="AK71" s="749"/>
      <c r="AL71" s="749"/>
      <c r="AM71" s="750"/>
      <c r="AN71" s="206"/>
      <c r="AO71" s="279" t="s">
        <v>201</v>
      </c>
      <c r="AP71" s="212">
        <f t="shared" si="14"/>
        <v>0</v>
      </c>
      <c r="AQ71" s="276">
        <v>0</v>
      </c>
      <c r="AR71" s="260">
        <v>1</v>
      </c>
      <c r="AS71" s="380"/>
      <c r="AT71" s="260">
        <v>1</v>
      </c>
      <c r="AU71" s="200"/>
      <c r="AV71" s="281">
        <f t="shared" si="15"/>
        <v>1</v>
      </c>
      <c r="AW71" s="282">
        <f t="shared" si="16"/>
        <v>36000</v>
      </c>
      <c r="AX71" s="171"/>
      <c r="AY71" s="174" t="s">
        <v>204</v>
      </c>
      <c r="AZ71" s="174">
        <v>1</v>
      </c>
      <c r="BA71" s="210">
        <f t="shared" si="17"/>
        <v>36000</v>
      </c>
      <c r="BB71" s="385" t="s">
        <v>208</v>
      </c>
      <c r="BC71" s="386"/>
      <c r="BD71" s="386"/>
      <c r="BE71" s="386"/>
      <c r="BF71" s="386"/>
    </row>
    <row r="72" spans="1:60" s="268" customFormat="1" ht="15" customHeight="1">
      <c r="A72" s="489"/>
      <c r="B72" s="490"/>
      <c r="C72" s="490"/>
      <c r="D72" s="490"/>
      <c r="E72" s="490"/>
      <c r="F72" s="490"/>
      <c r="G72" s="491"/>
      <c r="H72" s="498"/>
      <c r="I72" s="499"/>
      <c r="J72" s="500"/>
      <c r="K72" s="530" t="s">
        <v>159</v>
      </c>
      <c r="L72" s="531"/>
      <c r="M72" s="531"/>
      <c r="N72" s="531"/>
      <c r="O72" s="531"/>
      <c r="P72" s="531"/>
      <c r="Q72" s="531"/>
      <c r="R72" s="531"/>
      <c r="S72" s="531"/>
      <c r="T72" s="531"/>
      <c r="U72" s="531"/>
      <c r="V72" s="531"/>
      <c r="W72" s="531"/>
      <c r="X72" s="275"/>
      <c r="Y72" s="521">
        <v>1</v>
      </c>
      <c r="Z72" s="522"/>
      <c r="AA72" s="523"/>
      <c r="AB72" s="513">
        <v>36000</v>
      </c>
      <c r="AC72" s="514"/>
      <c r="AD72" s="513"/>
      <c r="AE72" s="514"/>
      <c r="AF72" s="513">
        <f>SUM(AB72,AD72)</f>
        <v>36000</v>
      </c>
      <c r="AG72" s="514"/>
      <c r="AH72" s="515"/>
      <c r="AI72" s="510" t="s">
        <v>189</v>
      </c>
      <c r="AJ72" s="511"/>
      <c r="AK72" s="511"/>
      <c r="AL72" s="511"/>
      <c r="AM72" s="512"/>
      <c r="AN72" s="219"/>
      <c r="AO72" s="279" t="s">
        <v>201</v>
      </c>
      <c r="AP72" s="212">
        <f t="shared" si="14"/>
        <v>0</v>
      </c>
      <c r="AQ72" s="276">
        <v>0</v>
      </c>
      <c r="AR72" s="257"/>
      <c r="AS72" s="380">
        <v>1</v>
      </c>
      <c r="AT72" s="260">
        <v>1</v>
      </c>
      <c r="AU72" s="200"/>
      <c r="AV72" s="281">
        <f t="shared" si="15"/>
        <v>0.5</v>
      </c>
      <c r="AW72" s="282">
        <f t="shared" si="16"/>
        <v>18000</v>
      </c>
      <c r="AX72" s="171"/>
      <c r="AY72" s="174" t="s">
        <v>204</v>
      </c>
      <c r="AZ72" s="174">
        <v>0</v>
      </c>
      <c r="BA72" s="210">
        <f t="shared" si="17"/>
        <v>0</v>
      </c>
      <c r="BB72" s="388" t="s">
        <v>206</v>
      </c>
      <c r="BC72" s="387"/>
      <c r="BD72" s="387"/>
      <c r="BE72" s="387"/>
      <c r="BF72" s="387"/>
    </row>
    <row r="73" spans="1:60" s="202" customFormat="1" ht="12.75" customHeight="1">
      <c r="A73" s="489"/>
      <c r="B73" s="490"/>
      <c r="C73" s="490"/>
      <c r="D73" s="490"/>
      <c r="E73" s="490"/>
      <c r="F73" s="490"/>
      <c r="G73" s="491"/>
      <c r="H73" s="498"/>
      <c r="I73" s="499"/>
      <c r="J73" s="500"/>
      <c r="K73" s="790" t="s">
        <v>159</v>
      </c>
      <c r="L73" s="791"/>
      <c r="M73" s="791"/>
      <c r="N73" s="791"/>
      <c r="O73" s="791"/>
      <c r="P73" s="791"/>
      <c r="Q73" s="791"/>
      <c r="R73" s="791"/>
      <c r="S73" s="791"/>
      <c r="T73" s="791"/>
      <c r="U73" s="791"/>
      <c r="V73" s="791"/>
      <c r="W73" s="791"/>
      <c r="X73" s="792"/>
      <c r="Y73" s="521">
        <v>1</v>
      </c>
      <c r="Z73" s="535"/>
      <c r="AA73" s="536"/>
      <c r="AB73" s="513">
        <v>36000</v>
      </c>
      <c r="AC73" s="514"/>
      <c r="AD73" s="272"/>
      <c r="AE73" s="273"/>
      <c r="AF73" s="513">
        <f t="shared" ref="AF73:AF74" si="19">SUM(AB73,AD73)</f>
        <v>36000</v>
      </c>
      <c r="AG73" s="514"/>
      <c r="AH73" s="515"/>
      <c r="AI73" s="216"/>
      <c r="AJ73" s="217"/>
      <c r="AK73" s="217"/>
      <c r="AL73" s="217"/>
      <c r="AM73" s="218"/>
      <c r="AN73" s="206"/>
      <c r="AO73" s="215"/>
      <c r="AP73" s="212"/>
      <c r="AQ73" s="276"/>
      <c r="AR73" s="257"/>
      <c r="AS73" s="380"/>
      <c r="AT73" s="260"/>
      <c r="AU73" s="200"/>
      <c r="AV73" s="281"/>
      <c r="AW73" s="282"/>
      <c r="AX73" s="171"/>
      <c r="AY73" s="174"/>
      <c r="AZ73" s="174"/>
      <c r="BA73" s="210"/>
      <c r="BB73" s="201"/>
    </row>
    <row r="74" spans="1:60" s="202" customFormat="1" ht="15.75" customHeight="1" thickBot="1">
      <c r="A74" s="492"/>
      <c r="B74" s="493"/>
      <c r="C74" s="493"/>
      <c r="D74" s="493"/>
      <c r="E74" s="493"/>
      <c r="F74" s="493"/>
      <c r="G74" s="494"/>
      <c r="H74" s="501"/>
      <c r="I74" s="502"/>
      <c r="J74" s="503"/>
      <c r="K74" s="532" t="s">
        <v>159</v>
      </c>
      <c r="L74" s="641"/>
      <c r="M74" s="641"/>
      <c r="N74" s="641"/>
      <c r="O74" s="641"/>
      <c r="P74" s="641"/>
      <c r="Q74" s="641"/>
      <c r="R74" s="641"/>
      <c r="S74" s="641"/>
      <c r="T74" s="641"/>
      <c r="U74" s="641"/>
      <c r="V74" s="641"/>
      <c r="W74" s="641"/>
      <c r="X74" s="642"/>
      <c r="Y74" s="521">
        <v>1</v>
      </c>
      <c r="Z74" s="535"/>
      <c r="AA74" s="536"/>
      <c r="AB74" s="513">
        <v>36000</v>
      </c>
      <c r="AC74" s="514"/>
      <c r="AD74" s="513"/>
      <c r="AE74" s="514"/>
      <c r="AF74" s="513">
        <f t="shared" si="19"/>
        <v>36000</v>
      </c>
      <c r="AG74" s="514"/>
      <c r="AH74" s="515"/>
      <c r="AI74" s="848"/>
      <c r="AJ74" s="849"/>
      <c r="AK74" s="849"/>
      <c r="AL74" s="849"/>
      <c r="AM74" s="850"/>
      <c r="AN74" s="216"/>
      <c r="AO74" s="215"/>
      <c r="AP74" s="212"/>
      <c r="AQ74" s="276"/>
      <c r="AR74" s="257"/>
      <c r="AS74" s="380"/>
      <c r="AT74" s="260"/>
      <c r="AU74" s="200"/>
      <c r="AV74" s="281"/>
      <c r="AW74" s="282"/>
      <c r="AX74" s="171"/>
      <c r="AY74" s="174"/>
      <c r="AZ74" s="174"/>
      <c r="BA74" s="210"/>
      <c r="BB74" s="201"/>
    </row>
    <row r="75" spans="1:60" s="202" customFormat="1" ht="12.75" customHeight="1">
      <c r="A75" s="486" t="s">
        <v>152</v>
      </c>
      <c r="B75" s="487"/>
      <c r="C75" s="487"/>
      <c r="D75" s="487"/>
      <c r="E75" s="487"/>
      <c r="F75" s="487"/>
      <c r="G75" s="488"/>
      <c r="H75" s="495" t="s">
        <v>153</v>
      </c>
      <c r="I75" s="496"/>
      <c r="J75" s="497"/>
      <c r="K75" s="777" t="s">
        <v>147</v>
      </c>
      <c r="L75" s="777"/>
      <c r="M75" s="777"/>
      <c r="N75" s="777"/>
      <c r="O75" s="777"/>
      <c r="P75" s="777"/>
      <c r="Q75" s="777"/>
      <c r="R75" s="777"/>
      <c r="S75" s="777"/>
      <c r="T75" s="777"/>
      <c r="U75" s="777"/>
      <c r="V75" s="777"/>
      <c r="W75" s="777"/>
      <c r="X75" s="777"/>
      <c r="Y75" s="778">
        <v>1</v>
      </c>
      <c r="Z75" s="778"/>
      <c r="AA75" s="778"/>
      <c r="AB75" s="734">
        <v>140000</v>
      </c>
      <c r="AC75" s="735"/>
      <c r="AD75" s="734">
        <f>PRODUCT(AB75,1/10)</f>
        <v>14000</v>
      </c>
      <c r="AE75" s="735"/>
      <c r="AF75" s="734">
        <f t="shared" si="0"/>
        <v>154000</v>
      </c>
      <c r="AG75" s="735"/>
      <c r="AH75" s="751"/>
      <c r="AI75" s="752" t="s">
        <v>40</v>
      </c>
      <c r="AJ75" s="753"/>
      <c r="AK75" s="753"/>
      <c r="AL75" s="753"/>
      <c r="AM75" s="754"/>
      <c r="AN75" s="206"/>
      <c r="AO75" s="255"/>
      <c r="AP75" s="212">
        <f t="shared" si="1"/>
        <v>77000</v>
      </c>
      <c r="AQ75" s="276">
        <v>0.5</v>
      </c>
      <c r="AR75" s="257">
        <v>1</v>
      </c>
      <c r="AS75" s="380"/>
      <c r="AT75" s="260">
        <v>1</v>
      </c>
      <c r="AU75" s="200"/>
      <c r="AV75" s="281">
        <f t="shared" si="4"/>
        <v>0.5</v>
      </c>
      <c r="AW75" s="282">
        <f t="shared" si="3"/>
        <v>77000</v>
      </c>
      <c r="AX75" s="171"/>
      <c r="AY75" s="174" t="s">
        <v>204</v>
      </c>
      <c r="AZ75" s="174">
        <v>1</v>
      </c>
      <c r="BA75" s="210">
        <f>AF75*AZ75</f>
        <v>154000</v>
      </c>
      <c r="BB75" s="386" t="s">
        <v>215</v>
      </c>
      <c r="BC75" s="386"/>
      <c r="BD75" s="386"/>
      <c r="BE75" s="386"/>
      <c r="BF75" s="386"/>
    </row>
    <row r="76" spans="1:60" s="202" customFormat="1" ht="15" customHeight="1">
      <c r="A76" s="489"/>
      <c r="B76" s="490"/>
      <c r="C76" s="490"/>
      <c r="D76" s="490"/>
      <c r="E76" s="490"/>
      <c r="F76" s="490"/>
      <c r="G76" s="491"/>
      <c r="H76" s="498"/>
      <c r="I76" s="499"/>
      <c r="J76" s="500"/>
      <c r="K76" s="524" t="s">
        <v>150</v>
      </c>
      <c r="L76" s="736"/>
      <c r="M76" s="736"/>
      <c r="N76" s="736"/>
      <c r="O76" s="736"/>
      <c r="P76" s="736"/>
      <c r="Q76" s="736"/>
      <c r="R76" s="736"/>
      <c r="S76" s="736"/>
      <c r="T76" s="736"/>
      <c r="U76" s="736"/>
      <c r="V76" s="736"/>
      <c r="W76" s="736"/>
      <c r="X76" s="737"/>
      <c r="Y76" s="521">
        <v>1</v>
      </c>
      <c r="Z76" s="522"/>
      <c r="AA76" s="523"/>
      <c r="AB76" s="513">
        <v>80000</v>
      </c>
      <c r="AC76" s="514"/>
      <c r="AD76" s="513">
        <f>PRODUCT(AB76,1/10)</f>
        <v>8000</v>
      </c>
      <c r="AE76" s="514"/>
      <c r="AF76" s="513">
        <f>SUM(AB76,AD76)</f>
        <v>88000</v>
      </c>
      <c r="AG76" s="514"/>
      <c r="AH76" s="515"/>
      <c r="AI76" s="507" t="s">
        <v>52</v>
      </c>
      <c r="AJ76" s="508"/>
      <c r="AK76" s="508"/>
      <c r="AL76" s="508"/>
      <c r="AM76" s="509"/>
      <c r="AN76" s="206"/>
      <c r="AO76" s="255"/>
      <c r="AP76" s="212">
        <f>AF76*AQ76</f>
        <v>88000</v>
      </c>
      <c r="AQ76" s="276">
        <v>1</v>
      </c>
      <c r="AR76" s="257">
        <v>1</v>
      </c>
      <c r="AS76" s="380"/>
      <c r="AT76" s="260">
        <v>1</v>
      </c>
      <c r="AU76" s="200"/>
      <c r="AV76" s="281">
        <f>IF(AR76=1,AR76-AQ76,IF(AS76=1,0.5-AQ76,IF(AT76=1,0.5-AQ76,0)))</f>
        <v>0</v>
      </c>
      <c r="AW76" s="282">
        <f>AF76*AV76</f>
        <v>0</v>
      </c>
      <c r="AX76" s="171"/>
      <c r="AY76" s="174" t="s">
        <v>204</v>
      </c>
      <c r="AZ76" s="174">
        <v>1</v>
      </c>
      <c r="BA76" s="210">
        <f>AF76*AZ76</f>
        <v>88000</v>
      </c>
      <c r="BB76" s="388" t="s">
        <v>209</v>
      </c>
      <c r="BC76" s="387"/>
      <c r="BD76" s="387"/>
      <c r="BE76" s="387"/>
      <c r="BF76" s="387"/>
    </row>
    <row r="77" spans="1:60" s="202" customFormat="1" ht="15" customHeight="1">
      <c r="A77" s="489"/>
      <c r="B77" s="490"/>
      <c r="C77" s="490"/>
      <c r="D77" s="490"/>
      <c r="E77" s="490"/>
      <c r="F77" s="490"/>
      <c r="G77" s="491"/>
      <c r="H77" s="498"/>
      <c r="I77" s="499"/>
      <c r="J77" s="500"/>
      <c r="K77" s="524" t="s">
        <v>150</v>
      </c>
      <c r="L77" s="736"/>
      <c r="M77" s="736"/>
      <c r="N77" s="736"/>
      <c r="O77" s="736"/>
      <c r="P77" s="736"/>
      <c r="Q77" s="736"/>
      <c r="R77" s="736"/>
      <c r="S77" s="736"/>
      <c r="T77" s="736"/>
      <c r="U77" s="736"/>
      <c r="V77" s="736"/>
      <c r="W77" s="736"/>
      <c r="X77" s="737"/>
      <c r="Y77" s="521">
        <v>1</v>
      </c>
      <c r="Z77" s="522"/>
      <c r="AA77" s="523"/>
      <c r="AB77" s="513">
        <v>80000</v>
      </c>
      <c r="AC77" s="514"/>
      <c r="AD77" s="513"/>
      <c r="AE77" s="514"/>
      <c r="AF77" s="513">
        <f>SUM(AB77,AD77)</f>
        <v>80000</v>
      </c>
      <c r="AG77" s="514"/>
      <c r="AH77" s="515"/>
      <c r="AI77" s="764" t="s">
        <v>181</v>
      </c>
      <c r="AJ77" s="765"/>
      <c r="AK77" s="765"/>
      <c r="AL77" s="765"/>
      <c r="AM77" s="766"/>
      <c r="AN77" s="206"/>
      <c r="AO77" s="279" t="s">
        <v>201</v>
      </c>
      <c r="AP77" s="212">
        <f>AF77*AQ77</f>
        <v>0</v>
      </c>
      <c r="AQ77" s="276">
        <v>0</v>
      </c>
      <c r="AR77" s="260"/>
      <c r="AS77" s="380">
        <v>1</v>
      </c>
      <c r="AT77" s="260">
        <v>1</v>
      </c>
      <c r="AU77" s="200"/>
      <c r="AV77" s="281">
        <f>IF(AR77=1,AR77-AQ77,IF(AS77=1,0.5-AQ77,IF(AT77=1,0.5-AQ77,0)))</f>
        <v>0.5</v>
      </c>
      <c r="AW77" s="282">
        <f>AF77*AV77</f>
        <v>40000</v>
      </c>
      <c r="AX77" s="171"/>
      <c r="AY77" s="174" t="s">
        <v>204</v>
      </c>
      <c r="AZ77" s="174">
        <v>0.5</v>
      </c>
      <c r="BA77" s="210">
        <f>AF77*AZ77</f>
        <v>40000</v>
      </c>
      <c r="BB77" s="385" t="s">
        <v>208</v>
      </c>
      <c r="BC77" s="386"/>
      <c r="BD77" s="386"/>
      <c r="BE77" s="386"/>
      <c r="BF77" s="386"/>
    </row>
    <row r="78" spans="1:60" s="202" customFormat="1" ht="15" customHeight="1">
      <c r="A78" s="489"/>
      <c r="B78" s="490"/>
      <c r="C78" s="490"/>
      <c r="D78" s="490"/>
      <c r="E78" s="490"/>
      <c r="F78" s="490"/>
      <c r="G78" s="491"/>
      <c r="H78" s="498"/>
      <c r="I78" s="499"/>
      <c r="J78" s="500"/>
      <c r="K78" s="532" t="s">
        <v>150</v>
      </c>
      <c r="L78" s="641"/>
      <c r="M78" s="641"/>
      <c r="N78" s="641"/>
      <c r="O78" s="641"/>
      <c r="P78" s="641"/>
      <c r="Q78" s="641"/>
      <c r="R78" s="641"/>
      <c r="S78" s="641"/>
      <c r="T78" s="641"/>
      <c r="U78" s="641"/>
      <c r="V78" s="641"/>
      <c r="W78" s="641"/>
      <c r="X78" s="642"/>
      <c r="Y78" s="521">
        <v>1</v>
      </c>
      <c r="Z78" s="522"/>
      <c r="AA78" s="523"/>
      <c r="AB78" s="513">
        <v>80000</v>
      </c>
      <c r="AC78" s="514"/>
      <c r="AD78" s="513">
        <f>PRODUCT(AB78,1/10)</f>
        <v>8000</v>
      </c>
      <c r="AE78" s="514"/>
      <c r="AF78" s="513">
        <f>SUM(AB78,AD78)</f>
        <v>88000</v>
      </c>
      <c r="AG78" s="514"/>
      <c r="AH78" s="515"/>
      <c r="AI78" s="507"/>
      <c r="AJ78" s="508"/>
      <c r="AK78" s="508"/>
      <c r="AL78" s="508"/>
      <c r="AM78" s="509"/>
      <c r="AO78" s="215"/>
      <c r="AP78" s="212"/>
      <c r="AQ78" s="276"/>
      <c r="AR78" s="257"/>
      <c r="AS78" s="380"/>
      <c r="AT78" s="260"/>
      <c r="AU78" s="200"/>
      <c r="AV78" s="281"/>
      <c r="AW78" s="282"/>
      <c r="AX78" s="171"/>
      <c r="AY78" s="174"/>
      <c r="AZ78" s="174"/>
      <c r="BA78" s="210"/>
      <c r="BB78" s="201"/>
    </row>
    <row r="79" spans="1:60" s="202" customFormat="1" ht="15" customHeight="1">
      <c r="A79" s="489"/>
      <c r="B79" s="490"/>
      <c r="C79" s="490"/>
      <c r="D79" s="490"/>
      <c r="E79" s="490"/>
      <c r="F79" s="490"/>
      <c r="G79" s="491"/>
      <c r="H79" s="498"/>
      <c r="I79" s="499"/>
      <c r="J79" s="500"/>
      <c r="K79" s="527" t="s">
        <v>154</v>
      </c>
      <c r="L79" s="528"/>
      <c r="M79" s="528"/>
      <c r="N79" s="528"/>
      <c r="O79" s="528"/>
      <c r="P79" s="528"/>
      <c r="Q79" s="528"/>
      <c r="R79" s="528"/>
      <c r="S79" s="528"/>
      <c r="T79" s="528"/>
      <c r="U79" s="528"/>
      <c r="V79" s="528"/>
      <c r="W79" s="528"/>
      <c r="X79" s="529"/>
      <c r="Y79" s="521">
        <v>1</v>
      </c>
      <c r="Z79" s="522"/>
      <c r="AA79" s="523"/>
      <c r="AB79" s="513">
        <v>96000</v>
      </c>
      <c r="AC79" s="514"/>
      <c r="AD79" s="513"/>
      <c r="AE79" s="514"/>
      <c r="AF79" s="513">
        <f t="shared" si="0"/>
        <v>96000</v>
      </c>
      <c r="AG79" s="514"/>
      <c r="AH79" s="515"/>
      <c r="AI79" s="507" t="s">
        <v>38</v>
      </c>
      <c r="AJ79" s="508"/>
      <c r="AK79" s="508"/>
      <c r="AL79" s="508"/>
      <c r="AM79" s="509"/>
      <c r="AN79" s="206"/>
      <c r="AO79" s="252" t="s">
        <v>170</v>
      </c>
      <c r="AP79" s="212">
        <f t="shared" ref="AP79:AP95" si="20">AF79*AQ79</f>
        <v>0</v>
      </c>
      <c r="AQ79" s="276">
        <v>0</v>
      </c>
      <c r="AR79" s="260">
        <v>1</v>
      </c>
      <c r="AS79" s="380"/>
      <c r="AT79" s="260">
        <v>1</v>
      </c>
      <c r="AU79" s="200"/>
      <c r="AV79" s="281">
        <f t="shared" si="4"/>
        <v>1</v>
      </c>
      <c r="AW79" s="282">
        <f t="shared" ref="AW79:AW95" si="21">AF79*AV79</f>
        <v>96000</v>
      </c>
      <c r="AX79" s="171"/>
      <c r="AY79" s="174" t="s">
        <v>204</v>
      </c>
      <c r="AZ79" s="174">
        <v>0</v>
      </c>
      <c r="BA79" s="210">
        <f>AF79*AZ79</f>
        <v>0</v>
      </c>
      <c r="BB79" s="388" t="s">
        <v>206</v>
      </c>
      <c r="BC79" s="387"/>
      <c r="BD79" s="387"/>
      <c r="BE79" s="387"/>
      <c r="BF79" s="387"/>
    </row>
    <row r="80" spans="1:60" s="268" customFormat="1" ht="15" customHeight="1">
      <c r="A80" s="489"/>
      <c r="B80" s="490"/>
      <c r="C80" s="490"/>
      <c r="D80" s="490"/>
      <c r="E80" s="490"/>
      <c r="F80" s="490"/>
      <c r="G80" s="491"/>
      <c r="H80" s="498"/>
      <c r="I80" s="499"/>
      <c r="J80" s="500"/>
      <c r="K80" s="527" t="s">
        <v>154</v>
      </c>
      <c r="L80" s="528"/>
      <c r="M80" s="528"/>
      <c r="N80" s="528"/>
      <c r="O80" s="528"/>
      <c r="P80" s="528"/>
      <c r="Q80" s="528"/>
      <c r="R80" s="528"/>
      <c r="S80" s="528"/>
      <c r="T80" s="528"/>
      <c r="U80" s="528"/>
      <c r="V80" s="528"/>
      <c r="W80" s="528"/>
      <c r="X80" s="529"/>
      <c r="Y80" s="521">
        <v>1</v>
      </c>
      <c r="Z80" s="522"/>
      <c r="AA80" s="523"/>
      <c r="AB80" s="513">
        <v>96000</v>
      </c>
      <c r="AC80" s="514"/>
      <c r="AD80" s="513"/>
      <c r="AE80" s="514"/>
      <c r="AF80" s="513">
        <f>SUM(AB80,AD80)</f>
        <v>96000</v>
      </c>
      <c r="AG80" s="514"/>
      <c r="AH80" s="515"/>
      <c r="AI80" s="770"/>
      <c r="AJ80" s="771"/>
      <c r="AK80" s="771"/>
      <c r="AL80" s="771"/>
      <c r="AM80" s="772"/>
      <c r="AN80" s="206"/>
      <c r="AO80" s="215"/>
      <c r="AP80" s="212">
        <f>AF80*AQ80</f>
        <v>0</v>
      </c>
      <c r="AQ80" s="276">
        <v>0</v>
      </c>
      <c r="AR80" s="260"/>
      <c r="AS80" s="380"/>
      <c r="AT80" s="260"/>
      <c r="AU80" s="200"/>
      <c r="AV80" s="281"/>
      <c r="AW80" s="282"/>
      <c r="AX80" s="171"/>
      <c r="AY80" s="174"/>
      <c r="AZ80" s="174"/>
      <c r="BA80" s="210"/>
      <c r="BB80" s="201"/>
      <c r="BC80" s="278"/>
      <c r="BD80" s="278"/>
      <c r="BE80" s="278"/>
      <c r="BF80" s="278"/>
      <c r="BG80" s="278"/>
      <c r="BH80" s="278"/>
    </row>
    <row r="81" spans="1:60" s="202" customFormat="1" ht="12.75" customHeight="1">
      <c r="A81" s="489"/>
      <c r="B81" s="490"/>
      <c r="C81" s="490"/>
      <c r="D81" s="490"/>
      <c r="E81" s="490"/>
      <c r="F81" s="490"/>
      <c r="G81" s="491"/>
      <c r="H81" s="498"/>
      <c r="I81" s="499"/>
      <c r="J81" s="500"/>
      <c r="K81" s="532" t="s">
        <v>154</v>
      </c>
      <c r="L81" s="641"/>
      <c r="M81" s="641"/>
      <c r="N81" s="641"/>
      <c r="O81" s="641"/>
      <c r="P81" s="641"/>
      <c r="Q81" s="641"/>
      <c r="R81" s="641"/>
      <c r="S81" s="641"/>
      <c r="T81" s="641"/>
      <c r="U81" s="641"/>
      <c r="V81" s="641"/>
      <c r="W81" s="641"/>
      <c r="X81" s="642"/>
      <c r="Y81" s="521">
        <v>1</v>
      </c>
      <c r="Z81" s="522"/>
      <c r="AA81" s="523"/>
      <c r="AB81" s="513">
        <v>96000</v>
      </c>
      <c r="AC81" s="514"/>
      <c r="AD81" s="513">
        <f t="shared" ref="AD81:AD82" si="22">PRODUCT(AB81,1/10)</f>
        <v>9600</v>
      </c>
      <c r="AE81" s="514"/>
      <c r="AF81" s="513">
        <f>SUM(AB81,AD81)</f>
        <v>105600</v>
      </c>
      <c r="AG81" s="514"/>
      <c r="AH81" s="515"/>
      <c r="AI81" s="748" t="s">
        <v>214</v>
      </c>
      <c r="AJ81" s="749"/>
      <c r="AK81" s="749"/>
      <c r="AL81" s="749"/>
      <c r="AM81" s="750"/>
      <c r="AN81" s="206"/>
      <c r="AO81" s="215"/>
      <c r="AP81" s="212">
        <f>AF81*AQ81</f>
        <v>0</v>
      </c>
      <c r="AQ81" s="276">
        <v>0</v>
      </c>
      <c r="AR81" s="257"/>
      <c r="AS81" s="380">
        <v>1</v>
      </c>
      <c r="AT81" s="260">
        <v>1</v>
      </c>
      <c r="AU81" s="200"/>
      <c r="AV81" s="281">
        <f t="shared" ref="AV81" si="23">IF(AR81=1,AR81-AQ81,IF(AS81=1,0.5-AQ81,IF(AT81=1,0.5-AQ81,0)))</f>
        <v>0.5</v>
      </c>
      <c r="AW81" s="282">
        <f t="shared" ref="AW81" si="24">AF81*AV81</f>
        <v>52800</v>
      </c>
      <c r="AX81" s="171"/>
      <c r="AY81" s="174" t="s">
        <v>204</v>
      </c>
      <c r="AZ81" s="174">
        <v>0.5</v>
      </c>
      <c r="BA81" s="210">
        <f>AF81*AZ81</f>
        <v>52800</v>
      </c>
      <c r="BB81" s="385" t="s">
        <v>216</v>
      </c>
      <c r="BC81" s="386"/>
      <c r="BD81" s="386"/>
      <c r="BE81" s="386"/>
      <c r="BF81" s="386"/>
    </row>
    <row r="82" spans="1:60" s="202" customFormat="1" ht="15" customHeight="1">
      <c r="A82" s="489"/>
      <c r="B82" s="490"/>
      <c r="C82" s="490"/>
      <c r="D82" s="490"/>
      <c r="E82" s="490"/>
      <c r="F82" s="490"/>
      <c r="G82" s="491"/>
      <c r="H82" s="498"/>
      <c r="I82" s="499"/>
      <c r="J82" s="500"/>
      <c r="K82" s="213" t="s">
        <v>154</v>
      </c>
      <c r="L82" s="214"/>
      <c r="M82" s="214"/>
      <c r="N82" s="214"/>
      <c r="O82" s="214"/>
      <c r="P82" s="214"/>
      <c r="Q82" s="214"/>
      <c r="R82" s="214"/>
      <c r="S82" s="214"/>
      <c r="T82" s="214"/>
      <c r="U82" s="214"/>
      <c r="V82" s="214"/>
      <c r="W82" s="214"/>
      <c r="X82" s="209"/>
      <c r="Y82" s="521">
        <v>1</v>
      </c>
      <c r="Z82" s="522"/>
      <c r="AA82" s="523"/>
      <c r="AB82" s="513">
        <v>96000</v>
      </c>
      <c r="AC82" s="514"/>
      <c r="AD82" s="513">
        <f t="shared" si="22"/>
        <v>9600</v>
      </c>
      <c r="AE82" s="514"/>
      <c r="AF82" s="513">
        <f>SUM(AB82,AD82)</f>
        <v>105600</v>
      </c>
      <c r="AG82" s="514"/>
      <c r="AH82" s="515"/>
      <c r="AI82" s="770"/>
      <c r="AJ82" s="771"/>
      <c r="AK82" s="771"/>
      <c r="AL82" s="771"/>
      <c r="AM82" s="772"/>
      <c r="AN82" s="206"/>
      <c r="AO82" s="215"/>
      <c r="AP82" s="212"/>
      <c r="AQ82" s="276"/>
      <c r="AR82" s="257"/>
      <c r="AS82" s="380"/>
      <c r="AT82" s="260"/>
      <c r="AU82" s="200"/>
      <c r="AV82" s="281"/>
      <c r="AW82" s="282"/>
      <c r="AX82" s="171"/>
      <c r="AY82" s="174"/>
      <c r="AZ82" s="174"/>
      <c r="BA82" s="210"/>
      <c r="BB82" s="201"/>
    </row>
    <row r="83" spans="1:60" s="202" customFormat="1" ht="15" customHeight="1">
      <c r="A83" s="489"/>
      <c r="B83" s="490"/>
      <c r="C83" s="490"/>
      <c r="D83" s="490"/>
      <c r="E83" s="490"/>
      <c r="F83" s="490"/>
      <c r="G83" s="491"/>
      <c r="H83" s="498"/>
      <c r="I83" s="499"/>
      <c r="J83" s="500"/>
      <c r="K83" s="530" t="s">
        <v>133</v>
      </c>
      <c r="L83" s="531"/>
      <c r="M83" s="531"/>
      <c r="N83" s="531"/>
      <c r="O83" s="531"/>
      <c r="P83" s="531"/>
      <c r="Q83" s="531"/>
      <c r="R83" s="531"/>
      <c r="S83" s="531"/>
      <c r="T83" s="531"/>
      <c r="U83" s="531"/>
      <c r="V83" s="531"/>
      <c r="W83" s="531"/>
      <c r="X83" s="209"/>
      <c r="Y83" s="521">
        <v>1</v>
      </c>
      <c r="Z83" s="522"/>
      <c r="AA83" s="523"/>
      <c r="AB83" s="545">
        <v>44000</v>
      </c>
      <c r="AC83" s="546"/>
      <c r="AD83" s="513"/>
      <c r="AE83" s="514"/>
      <c r="AF83" s="513">
        <f>SUM(AB83,AD83)</f>
        <v>44000</v>
      </c>
      <c r="AG83" s="514"/>
      <c r="AH83" s="515"/>
      <c r="AI83" s="507" t="s">
        <v>184</v>
      </c>
      <c r="AJ83" s="508"/>
      <c r="AK83" s="508"/>
      <c r="AL83" s="508"/>
      <c r="AM83" s="509"/>
      <c r="AN83" s="206"/>
      <c r="AO83" s="279" t="s">
        <v>201</v>
      </c>
      <c r="AP83" s="212">
        <f t="shared" si="20"/>
        <v>0</v>
      </c>
      <c r="AQ83" s="276">
        <v>0</v>
      </c>
      <c r="AR83" s="260"/>
      <c r="AS83" s="380">
        <v>1</v>
      </c>
      <c r="AT83" s="260">
        <v>1</v>
      </c>
      <c r="AU83" s="200"/>
      <c r="AV83" s="281">
        <f t="shared" si="4"/>
        <v>0.5</v>
      </c>
      <c r="AW83" s="282">
        <f t="shared" si="21"/>
        <v>22000</v>
      </c>
      <c r="AX83" s="171"/>
      <c r="AY83" s="174" t="s">
        <v>204</v>
      </c>
      <c r="AZ83" s="174">
        <v>0.5</v>
      </c>
      <c r="BA83" s="210">
        <f>AF83*AZ83</f>
        <v>22000</v>
      </c>
      <c r="BB83" s="385" t="s">
        <v>208</v>
      </c>
      <c r="BC83" s="386"/>
      <c r="BD83" s="386"/>
      <c r="BE83" s="386"/>
      <c r="BF83" s="386"/>
    </row>
    <row r="84" spans="1:60" s="268" customFormat="1" ht="15" customHeight="1">
      <c r="A84" s="489"/>
      <c r="B84" s="490"/>
      <c r="C84" s="490"/>
      <c r="D84" s="490"/>
      <c r="E84" s="490"/>
      <c r="F84" s="490"/>
      <c r="G84" s="491"/>
      <c r="H84" s="498"/>
      <c r="I84" s="499"/>
      <c r="J84" s="500"/>
      <c r="K84" s="530" t="s">
        <v>133</v>
      </c>
      <c r="L84" s="531"/>
      <c r="M84" s="531"/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275"/>
      <c r="Y84" s="521">
        <v>1</v>
      </c>
      <c r="Z84" s="522"/>
      <c r="AA84" s="523"/>
      <c r="AB84" s="545">
        <v>44000</v>
      </c>
      <c r="AC84" s="546"/>
      <c r="AD84" s="513"/>
      <c r="AE84" s="514"/>
      <c r="AF84" s="513">
        <f t="shared" ref="AF84:AF85" si="25">SUM(AB84,AD84)</f>
        <v>44000</v>
      </c>
      <c r="AG84" s="514"/>
      <c r="AH84" s="515"/>
      <c r="AI84" s="510" t="s">
        <v>191</v>
      </c>
      <c r="AJ84" s="511"/>
      <c r="AK84" s="511"/>
      <c r="AL84" s="511"/>
      <c r="AM84" s="512"/>
      <c r="AN84" s="219"/>
      <c r="AO84" s="279" t="s">
        <v>201</v>
      </c>
      <c r="AP84" s="212">
        <f t="shared" ref="AP84:AP87" si="26">AF84*AQ84</f>
        <v>0</v>
      </c>
      <c r="AQ84" s="276">
        <v>0</v>
      </c>
      <c r="AR84" s="257"/>
      <c r="AS84" s="380">
        <v>1</v>
      </c>
      <c r="AT84" s="260">
        <v>1</v>
      </c>
      <c r="AU84" s="200"/>
      <c r="AV84" s="281">
        <f t="shared" si="4"/>
        <v>0.5</v>
      </c>
      <c r="AW84" s="282">
        <f t="shared" ref="AW84:AW87" si="27">AF84*AV84</f>
        <v>22000</v>
      </c>
      <c r="AX84" s="171"/>
      <c r="AY84" s="174" t="s">
        <v>204</v>
      </c>
      <c r="AZ84" s="174">
        <v>0</v>
      </c>
      <c r="BA84" s="210">
        <f>AF84*AZ84</f>
        <v>0</v>
      </c>
      <c r="BB84" s="388" t="s">
        <v>206</v>
      </c>
      <c r="BC84" s="387"/>
      <c r="BD84" s="387"/>
      <c r="BE84" s="387"/>
      <c r="BF84" s="387"/>
    </row>
    <row r="85" spans="1:60" s="268" customFormat="1" ht="15" customHeight="1">
      <c r="A85" s="489"/>
      <c r="B85" s="490"/>
      <c r="C85" s="490"/>
      <c r="D85" s="490"/>
      <c r="E85" s="490"/>
      <c r="F85" s="490"/>
      <c r="G85" s="491"/>
      <c r="H85" s="498"/>
      <c r="I85" s="499"/>
      <c r="J85" s="500"/>
      <c r="K85" s="530" t="s">
        <v>133</v>
      </c>
      <c r="L85" s="531"/>
      <c r="M85" s="531"/>
      <c r="N85" s="531"/>
      <c r="O85" s="531"/>
      <c r="P85" s="531"/>
      <c r="Q85" s="531"/>
      <c r="R85" s="531"/>
      <c r="S85" s="531"/>
      <c r="T85" s="531"/>
      <c r="U85" s="531"/>
      <c r="V85" s="531"/>
      <c r="W85" s="531"/>
      <c r="X85" s="275"/>
      <c r="Y85" s="521">
        <v>1</v>
      </c>
      <c r="Z85" s="522"/>
      <c r="AA85" s="523"/>
      <c r="AB85" s="545">
        <v>44000</v>
      </c>
      <c r="AC85" s="546"/>
      <c r="AD85" s="513"/>
      <c r="AE85" s="514"/>
      <c r="AF85" s="513">
        <f t="shared" si="25"/>
        <v>44000</v>
      </c>
      <c r="AG85" s="514"/>
      <c r="AH85" s="515"/>
      <c r="AI85" s="510" t="s">
        <v>190</v>
      </c>
      <c r="AJ85" s="511"/>
      <c r="AK85" s="511"/>
      <c r="AL85" s="511"/>
      <c r="AM85" s="512"/>
      <c r="AN85" s="206"/>
      <c r="AO85" s="279" t="s">
        <v>201</v>
      </c>
      <c r="AP85" s="212">
        <f t="shared" si="26"/>
        <v>0</v>
      </c>
      <c r="AQ85" s="276">
        <v>0</v>
      </c>
      <c r="AR85" s="257"/>
      <c r="AS85" s="380">
        <v>1</v>
      </c>
      <c r="AT85" s="260">
        <v>1</v>
      </c>
      <c r="AU85" s="200"/>
      <c r="AV85" s="281">
        <f t="shared" si="4"/>
        <v>0.5</v>
      </c>
      <c r="AW85" s="282">
        <f t="shared" si="27"/>
        <v>22000</v>
      </c>
      <c r="AX85" s="171"/>
      <c r="AY85" s="174" t="s">
        <v>204</v>
      </c>
      <c r="AZ85" s="174">
        <v>0</v>
      </c>
      <c r="BA85" s="210">
        <f>AF85*AZ85</f>
        <v>0</v>
      </c>
      <c r="BB85" s="388" t="s">
        <v>206</v>
      </c>
      <c r="BC85" s="387"/>
      <c r="BD85" s="387"/>
      <c r="BE85" s="387"/>
      <c r="BF85" s="387"/>
    </row>
    <row r="86" spans="1:60" s="202" customFormat="1" ht="12.75" customHeight="1">
      <c r="A86" s="489"/>
      <c r="B86" s="490"/>
      <c r="C86" s="490"/>
      <c r="D86" s="490"/>
      <c r="E86" s="490"/>
      <c r="F86" s="490"/>
      <c r="G86" s="491"/>
      <c r="H86" s="498"/>
      <c r="I86" s="499"/>
      <c r="J86" s="500"/>
      <c r="K86" s="519" t="s">
        <v>155</v>
      </c>
      <c r="L86" s="520"/>
      <c r="M86" s="520"/>
      <c r="N86" s="520"/>
      <c r="O86" s="520"/>
      <c r="P86" s="520"/>
      <c r="Q86" s="520"/>
      <c r="R86" s="520"/>
      <c r="S86" s="520"/>
      <c r="T86" s="520"/>
      <c r="U86" s="520"/>
      <c r="V86" s="520"/>
      <c r="W86" s="520"/>
      <c r="X86" s="271"/>
      <c r="Y86" s="521">
        <v>1</v>
      </c>
      <c r="Z86" s="522"/>
      <c r="AA86" s="523"/>
      <c r="AB86" s="545">
        <v>44000</v>
      </c>
      <c r="AC86" s="546"/>
      <c r="AD86" s="782"/>
      <c r="AE86" s="782"/>
      <c r="AF86" s="513">
        <f>SUM(AB86,AD86)</f>
        <v>44000</v>
      </c>
      <c r="AG86" s="514"/>
      <c r="AH86" s="515"/>
      <c r="AI86" s="748"/>
      <c r="AJ86" s="749"/>
      <c r="AK86" s="749"/>
      <c r="AL86" s="749"/>
      <c r="AM86" s="750"/>
      <c r="AN86" s="206"/>
      <c r="AO86" s="215"/>
      <c r="AP86" s="212"/>
      <c r="AQ86" s="276"/>
      <c r="AR86" s="280"/>
      <c r="AS86" s="381"/>
      <c r="AT86" s="280"/>
      <c r="AU86" s="200"/>
      <c r="AV86" s="281"/>
      <c r="AW86" s="282"/>
      <c r="AX86" s="171"/>
      <c r="AY86" s="174"/>
      <c r="AZ86" s="174"/>
      <c r="BA86" s="210"/>
      <c r="BB86" s="201"/>
    </row>
    <row r="87" spans="1:60" s="268" customFormat="1" ht="15" customHeight="1">
      <c r="A87" s="489"/>
      <c r="B87" s="490"/>
      <c r="C87" s="490"/>
      <c r="D87" s="490"/>
      <c r="E87" s="490"/>
      <c r="F87" s="490"/>
      <c r="G87" s="491"/>
      <c r="H87" s="498"/>
      <c r="I87" s="499"/>
      <c r="J87" s="500"/>
      <c r="K87" s="746" t="s">
        <v>156</v>
      </c>
      <c r="L87" s="747"/>
      <c r="M87" s="747"/>
      <c r="N87" s="747"/>
      <c r="O87" s="747"/>
      <c r="P87" s="747"/>
      <c r="Q87" s="747"/>
      <c r="R87" s="747"/>
      <c r="S87" s="747"/>
      <c r="T87" s="747"/>
      <c r="U87" s="747"/>
      <c r="V87" s="747"/>
      <c r="W87" s="747"/>
      <c r="X87" s="275"/>
      <c r="Y87" s="521">
        <v>1</v>
      </c>
      <c r="Z87" s="522"/>
      <c r="AA87" s="523"/>
      <c r="AB87" s="513">
        <v>52000</v>
      </c>
      <c r="AC87" s="514"/>
      <c r="AD87" s="513"/>
      <c r="AE87" s="514"/>
      <c r="AF87" s="513">
        <f>SUM(AB87,AD87)</f>
        <v>52000</v>
      </c>
      <c r="AG87" s="514"/>
      <c r="AH87" s="515"/>
      <c r="AI87" s="542" t="s">
        <v>18</v>
      </c>
      <c r="AJ87" s="543"/>
      <c r="AK87" s="543"/>
      <c r="AL87" s="543"/>
      <c r="AM87" s="544"/>
      <c r="AN87" s="206"/>
      <c r="AO87" s="279" t="s">
        <v>201</v>
      </c>
      <c r="AP87" s="212">
        <f t="shared" si="26"/>
        <v>0</v>
      </c>
      <c r="AQ87" s="276">
        <v>0</v>
      </c>
      <c r="AR87" s="327">
        <v>1</v>
      </c>
      <c r="AS87" s="328"/>
      <c r="AT87" s="329">
        <v>1</v>
      </c>
      <c r="AU87" s="200"/>
      <c r="AV87" s="281">
        <f t="shared" si="4"/>
        <v>1</v>
      </c>
      <c r="AW87" s="282">
        <f t="shared" si="27"/>
        <v>52000</v>
      </c>
      <c r="AX87" s="171"/>
      <c r="AY87" s="174" t="s">
        <v>204</v>
      </c>
      <c r="AZ87" s="174">
        <v>0</v>
      </c>
      <c r="BA87" s="210">
        <f>AF87*AZ87</f>
        <v>0</v>
      </c>
      <c r="BB87" s="389" t="s">
        <v>217</v>
      </c>
      <c r="BC87" s="384"/>
      <c r="BD87" s="384"/>
      <c r="BE87" s="384"/>
      <c r="BF87" s="384"/>
      <c r="BG87" s="384"/>
      <c r="BH87" s="384"/>
    </row>
    <row r="88" spans="1:60" s="268" customFormat="1" ht="15" customHeight="1">
      <c r="A88" s="489"/>
      <c r="B88" s="490"/>
      <c r="C88" s="490"/>
      <c r="D88" s="490"/>
      <c r="E88" s="490"/>
      <c r="F88" s="490"/>
      <c r="G88" s="491"/>
      <c r="H88" s="498"/>
      <c r="I88" s="499"/>
      <c r="J88" s="500"/>
      <c r="K88" s="524" t="s">
        <v>156</v>
      </c>
      <c r="L88" s="736"/>
      <c r="M88" s="736"/>
      <c r="N88" s="736"/>
      <c r="O88" s="736"/>
      <c r="P88" s="736"/>
      <c r="Q88" s="736"/>
      <c r="R88" s="736"/>
      <c r="S88" s="736"/>
      <c r="T88" s="736"/>
      <c r="U88" s="736"/>
      <c r="V88" s="736"/>
      <c r="W88" s="736"/>
      <c r="X88" s="737"/>
      <c r="Y88" s="521">
        <v>1</v>
      </c>
      <c r="Z88" s="522"/>
      <c r="AA88" s="523"/>
      <c r="AB88" s="513">
        <v>52000</v>
      </c>
      <c r="AC88" s="514"/>
      <c r="AD88" s="513"/>
      <c r="AE88" s="514"/>
      <c r="AF88" s="513">
        <f>SUM(AB88,AD88)</f>
        <v>52000</v>
      </c>
      <c r="AG88" s="514"/>
      <c r="AH88" s="515"/>
      <c r="AI88" s="507" t="s">
        <v>25</v>
      </c>
      <c r="AJ88" s="508"/>
      <c r="AK88" s="508"/>
      <c r="AL88" s="508"/>
      <c r="AM88" s="509"/>
      <c r="AO88" s="215"/>
      <c r="AP88" s="212">
        <f t="shared" ref="AP88" si="28">AF88*AQ88</f>
        <v>52000</v>
      </c>
      <c r="AQ88" s="276">
        <v>1</v>
      </c>
      <c r="AR88" s="257">
        <v>1</v>
      </c>
      <c r="AS88" s="380"/>
      <c r="AT88" s="260">
        <v>1</v>
      </c>
      <c r="AU88" s="200"/>
      <c r="AV88" s="281">
        <f t="shared" ref="AV88" si="29">IF(AR88=1,AR88-AQ88,IF(AS88=1,0.5-AQ88,IF(AT88=1,0.5-AQ88,0)))</f>
        <v>0</v>
      </c>
      <c r="AW88" s="282">
        <f t="shared" ref="AW88" si="30">AF88*AV88</f>
        <v>0</v>
      </c>
      <c r="AX88" s="171"/>
      <c r="AY88" s="174" t="s">
        <v>204</v>
      </c>
      <c r="AZ88" s="174">
        <v>1</v>
      </c>
      <c r="BA88" s="210">
        <f>AF88*AZ88</f>
        <v>52000</v>
      </c>
      <c r="BB88" s="388" t="s">
        <v>209</v>
      </c>
      <c r="BC88" s="387"/>
      <c r="BD88" s="387"/>
      <c r="BE88" s="387"/>
      <c r="BF88" s="387"/>
    </row>
    <row r="89" spans="1:60" s="202" customFormat="1" ht="15.75" customHeight="1" thickBot="1">
      <c r="A89" s="492"/>
      <c r="B89" s="493"/>
      <c r="C89" s="493"/>
      <c r="D89" s="493"/>
      <c r="E89" s="493"/>
      <c r="F89" s="493"/>
      <c r="G89" s="494"/>
      <c r="H89" s="501"/>
      <c r="I89" s="502"/>
      <c r="J89" s="503"/>
      <c r="K89" s="519" t="s">
        <v>156</v>
      </c>
      <c r="L89" s="520"/>
      <c r="M89" s="520"/>
      <c r="N89" s="520"/>
      <c r="O89" s="520"/>
      <c r="P89" s="520"/>
      <c r="Q89" s="520"/>
      <c r="R89" s="520"/>
      <c r="S89" s="520"/>
      <c r="T89" s="520"/>
      <c r="U89" s="520"/>
      <c r="V89" s="520"/>
      <c r="W89" s="520"/>
      <c r="X89" s="209"/>
      <c r="Y89" s="521">
        <v>1</v>
      </c>
      <c r="Z89" s="522"/>
      <c r="AA89" s="523"/>
      <c r="AB89" s="513">
        <v>52000</v>
      </c>
      <c r="AC89" s="514"/>
      <c r="AD89" s="513"/>
      <c r="AE89" s="514"/>
      <c r="AF89" s="513">
        <f t="shared" ref="AF89:AF96" si="31">SUM(AB89,AD89)</f>
        <v>52000</v>
      </c>
      <c r="AG89" s="514"/>
      <c r="AH89" s="515"/>
      <c r="AI89" s="507"/>
      <c r="AJ89" s="508"/>
      <c r="AK89" s="508"/>
      <c r="AL89" s="508"/>
      <c r="AM89" s="509"/>
      <c r="AN89" s="206"/>
      <c r="AO89" s="184"/>
      <c r="AP89" s="212"/>
      <c r="AQ89" s="276"/>
      <c r="AR89" s="257"/>
      <c r="AS89" s="380"/>
      <c r="AT89" s="260"/>
      <c r="AU89" s="200"/>
      <c r="AV89" s="281"/>
      <c r="AW89" s="282"/>
      <c r="AX89" s="171"/>
      <c r="AY89" s="174"/>
      <c r="AZ89" s="174"/>
      <c r="BA89" s="174"/>
      <c r="BB89" s="201"/>
    </row>
    <row r="90" spans="1:60" s="268" customFormat="1" ht="12.75">
      <c r="A90" s="341"/>
      <c r="B90" s="342"/>
      <c r="C90" s="342"/>
      <c r="D90" s="342"/>
      <c r="E90" s="342"/>
      <c r="F90" s="342"/>
      <c r="G90" s="343"/>
      <c r="H90" s="344"/>
      <c r="I90" s="344"/>
      <c r="J90" s="344"/>
      <c r="K90" s="345"/>
      <c r="L90" s="346"/>
      <c r="M90" s="346"/>
      <c r="N90" s="346"/>
      <c r="O90" s="346"/>
      <c r="P90" s="346"/>
      <c r="Q90" s="346"/>
      <c r="R90" s="346"/>
      <c r="S90" s="346"/>
      <c r="T90" s="346"/>
      <c r="U90" s="346"/>
      <c r="V90" s="346"/>
      <c r="W90" s="346"/>
      <c r="X90" s="347"/>
      <c r="Y90" s="796"/>
      <c r="Z90" s="796"/>
      <c r="AA90" s="796"/>
      <c r="AB90" s="348"/>
      <c r="AC90" s="349"/>
      <c r="AD90" s="348"/>
      <c r="AE90" s="349"/>
      <c r="AF90" s="348"/>
      <c r="AG90" s="349"/>
      <c r="AH90" s="350"/>
      <c r="AI90" s="351"/>
      <c r="AJ90" s="352"/>
      <c r="AK90" s="352"/>
      <c r="AL90" s="352"/>
      <c r="AM90" s="353"/>
      <c r="AN90" s="354"/>
      <c r="AO90" s="355"/>
      <c r="AP90" s="339">
        <f>SUM(AP42:AP89)</f>
        <v>547000</v>
      </c>
      <c r="AQ90" s="356">
        <f>SUM(AQ42:AQ89)</f>
        <v>5.5</v>
      </c>
      <c r="AR90" s="339">
        <f>SUM(AR42:AR89)</f>
        <v>13</v>
      </c>
      <c r="AS90" s="339">
        <f>SUM(AS42:AS89)</f>
        <v>21</v>
      </c>
      <c r="AT90" s="339">
        <f>SUM(AT42:AT89)</f>
        <v>34</v>
      </c>
      <c r="AU90" s="340"/>
      <c r="AV90" s="339">
        <f>SUM(AV42:AV89)</f>
        <v>18</v>
      </c>
      <c r="AW90" s="339">
        <f>SUM(AW42:AW89)</f>
        <v>1303800</v>
      </c>
      <c r="AX90" s="171"/>
      <c r="AY90" s="171"/>
      <c r="AZ90" s="390">
        <f>SUM(AZ42:AZ89)</f>
        <v>15.5</v>
      </c>
      <c r="BA90" s="390">
        <f>SUM(BA42:BA89)</f>
        <v>1338800</v>
      </c>
      <c r="BB90" s="201"/>
    </row>
    <row r="91" spans="1:60" s="268" customFormat="1" ht="13.5" thickBot="1">
      <c r="A91" s="357"/>
      <c r="B91" s="358"/>
      <c r="C91" s="358"/>
      <c r="D91" s="358"/>
      <c r="E91" s="358"/>
      <c r="F91" s="358"/>
      <c r="G91" s="359"/>
      <c r="H91" s="270"/>
      <c r="I91" s="270"/>
      <c r="J91" s="270"/>
      <c r="K91" s="360"/>
      <c r="L91" s="361"/>
      <c r="M91" s="361"/>
      <c r="N91" s="361"/>
      <c r="O91" s="361"/>
      <c r="P91" s="361"/>
      <c r="Q91" s="361"/>
      <c r="R91" s="361"/>
      <c r="S91" s="361"/>
      <c r="T91" s="361"/>
      <c r="U91" s="361"/>
      <c r="V91" s="361"/>
      <c r="W91" s="361"/>
      <c r="X91" s="362"/>
      <c r="Y91" s="797"/>
      <c r="Z91" s="797"/>
      <c r="AA91" s="797"/>
      <c r="AB91" s="363"/>
      <c r="AC91" s="364"/>
      <c r="AD91" s="363"/>
      <c r="AE91" s="364"/>
      <c r="AF91" s="363"/>
      <c r="AG91" s="364"/>
      <c r="AH91" s="365"/>
      <c r="AI91" s="366"/>
      <c r="AJ91" s="367"/>
      <c r="AK91" s="367"/>
      <c r="AL91" s="367"/>
      <c r="AM91" s="368"/>
      <c r="AN91" s="206"/>
      <c r="AO91" s="369"/>
      <c r="AP91" s="370"/>
      <c r="AQ91" s="371"/>
      <c r="AR91" s="324"/>
      <c r="AS91" s="325"/>
      <c r="AT91" s="326"/>
      <c r="AU91" s="323"/>
      <c r="AV91" s="375">
        <f>AQ90+AV90</f>
        <v>23.5</v>
      </c>
      <c r="AW91" s="375">
        <f>AP90+AW90</f>
        <v>1850800</v>
      </c>
      <c r="AX91" s="171"/>
      <c r="AY91" s="171"/>
      <c r="AZ91" s="171"/>
      <c r="BA91" s="171"/>
      <c r="BB91" s="201"/>
    </row>
    <row r="92" spans="1:60" s="202" customFormat="1" ht="12.75" customHeight="1">
      <c r="A92" s="803" t="s">
        <v>160</v>
      </c>
      <c r="B92" s="804"/>
      <c r="C92" s="804"/>
      <c r="D92" s="804"/>
      <c r="E92" s="804"/>
      <c r="F92" s="804"/>
      <c r="G92" s="805"/>
      <c r="H92" s="812" t="s">
        <v>161</v>
      </c>
      <c r="I92" s="813"/>
      <c r="J92" s="814"/>
      <c r="K92" s="821" t="s">
        <v>162</v>
      </c>
      <c r="L92" s="821"/>
      <c r="M92" s="821"/>
      <c r="N92" s="821"/>
      <c r="O92" s="821"/>
      <c r="P92" s="821"/>
      <c r="Q92" s="821"/>
      <c r="R92" s="821"/>
      <c r="S92" s="821"/>
      <c r="T92" s="821"/>
      <c r="U92" s="821"/>
      <c r="V92" s="821"/>
      <c r="W92" s="821"/>
      <c r="X92" s="220"/>
      <c r="Y92" s="822">
        <v>1</v>
      </c>
      <c r="Z92" s="822"/>
      <c r="AA92" s="822"/>
      <c r="AB92" s="793">
        <v>90000</v>
      </c>
      <c r="AC92" s="793"/>
      <c r="AD92" s="793">
        <f>PRODUCT(AB92,1/10)</f>
        <v>9000</v>
      </c>
      <c r="AE92" s="793"/>
      <c r="AF92" s="793">
        <f t="shared" si="31"/>
        <v>99000</v>
      </c>
      <c r="AG92" s="793"/>
      <c r="AH92" s="793"/>
      <c r="AI92" s="794"/>
      <c r="AJ92" s="794"/>
      <c r="AK92" s="794"/>
      <c r="AL92" s="794"/>
      <c r="AM92" s="795"/>
      <c r="AN92" s="206"/>
      <c r="AO92" s="330"/>
      <c r="AP92" s="331"/>
      <c r="AQ92" s="321"/>
      <c r="AR92" s="332"/>
      <c r="AS92" s="333"/>
      <c r="AT92" s="334"/>
      <c r="AU92" s="335"/>
      <c r="AV92" s="336"/>
      <c r="AW92" s="337"/>
      <c r="AX92" s="171"/>
      <c r="AY92" s="174"/>
      <c r="AZ92" s="174"/>
      <c r="BA92" s="174"/>
      <c r="BB92" s="201"/>
    </row>
    <row r="93" spans="1:60" s="202" customFormat="1" ht="27.75" customHeight="1">
      <c r="A93" s="806"/>
      <c r="B93" s="807"/>
      <c r="C93" s="807"/>
      <c r="D93" s="807"/>
      <c r="E93" s="807"/>
      <c r="F93" s="807"/>
      <c r="G93" s="808"/>
      <c r="H93" s="815"/>
      <c r="I93" s="816"/>
      <c r="J93" s="817"/>
      <c r="K93" s="798" t="s">
        <v>163</v>
      </c>
      <c r="L93" s="798"/>
      <c r="M93" s="798"/>
      <c r="N93" s="798"/>
      <c r="O93" s="798"/>
      <c r="P93" s="798"/>
      <c r="Q93" s="798"/>
      <c r="R93" s="798"/>
      <c r="S93" s="798"/>
      <c r="T93" s="798"/>
      <c r="U93" s="798"/>
      <c r="V93" s="798"/>
      <c r="W93" s="798"/>
      <c r="X93" s="221"/>
      <c r="Y93" s="799">
        <v>1</v>
      </c>
      <c r="Z93" s="799"/>
      <c r="AA93" s="799"/>
      <c r="AB93" s="800">
        <v>44000</v>
      </c>
      <c r="AC93" s="800"/>
      <c r="AD93" s="800">
        <f>PRODUCT(AB93,1/10)</f>
        <v>4400</v>
      </c>
      <c r="AE93" s="800"/>
      <c r="AF93" s="800">
        <f t="shared" si="31"/>
        <v>48400</v>
      </c>
      <c r="AG93" s="800"/>
      <c r="AH93" s="800"/>
      <c r="AI93" s="801" t="s">
        <v>192</v>
      </c>
      <c r="AJ93" s="801"/>
      <c r="AK93" s="801"/>
      <c r="AL93" s="801"/>
      <c r="AM93" s="802"/>
      <c r="AN93" s="206"/>
      <c r="AO93" s="253" t="s">
        <v>141</v>
      </c>
      <c r="AP93" s="254">
        <f t="shared" si="20"/>
        <v>4840</v>
      </c>
      <c r="AQ93" s="276">
        <v>0.1</v>
      </c>
      <c r="AR93" s="257"/>
      <c r="AS93" s="258"/>
      <c r="AT93" s="260">
        <v>1</v>
      </c>
      <c r="AU93" s="200"/>
      <c r="AV93" s="281">
        <f t="shared" ref="AV93:AV95" si="32">IF(AR93=1,AR93-AQ93,IF(AS93=1,0.5-AQ93,IF(AT93=1,0.5-AQ93,0)))</f>
        <v>0.4</v>
      </c>
      <c r="AW93" s="282">
        <f t="shared" si="21"/>
        <v>19360</v>
      </c>
      <c r="AX93" s="171"/>
      <c r="AY93" s="174" t="s">
        <v>204</v>
      </c>
      <c r="AZ93" s="174"/>
      <c r="BA93" s="174"/>
      <c r="BB93" s="201"/>
    </row>
    <row r="94" spans="1:60" s="202" customFormat="1" ht="28.5" customHeight="1">
      <c r="A94" s="806"/>
      <c r="B94" s="807"/>
      <c r="C94" s="807"/>
      <c r="D94" s="807"/>
      <c r="E94" s="807"/>
      <c r="F94" s="807"/>
      <c r="G94" s="808"/>
      <c r="H94" s="815"/>
      <c r="I94" s="816"/>
      <c r="J94" s="817"/>
      <c r="K94" s="798" t="s">
        <v>164</v>
      </c>
      <c r="L94" s="798"/>
      <c r="M94" s="798"/>
      <c r="N94" s="798"/>
      <c r="O94" s="798"/>
      <c r="P94" s="798"/>
      <c r="Q94" s="798"/>
      <c r="R94" s="798"/>
      <c r="S94" s="798"/>
      <c r="T94" s="798"/>
      <c r="U94" s="798"/>
      <c r="V94" s="798"/>
      <c r="W94" s="798"/>
      <c r="X94" s="221"/>
      <c r="Y94" s="799">
        <v>1</v>
      </c>
      <c r="Z94" s="799"/>
      <c r="AA94" s="799"/>
      <c r="AB94" s="800">
        <v>56000</v>
      </c>
      <c r="AC94" s="800"/>
      <c r="AD94" s="800">
        <f>PRODUCT(AB94,1/10)</f>
        <v>5600</v>
      </c>
      <c r="AE94" s="800"/>
      <c r="AF94" s="800">
        <f t="shared" si="31"/>
        <v>61600</v>
      </c>
      <c r="AG94" s="800"/>
      <c r="AH94" s="800"/>
      <c r="AI94" s="801" t="s">
        <v>193</v>
      </c>
      <c r="AJ94" s="801"/>
      <c r="AK94" s="801"/>
      <c r="AL94" s="801"/>
      <c r="AM94" s="802"/>
      <c r="AN94" s="206"/>
      <c r="AO94" s="253" t="s">
        <v>141</v>
      </c>
      <c r="AP94" s="254">
        <f t="shared" si="20"/>
        <v>6160</v>
      </c>
      <c r="AQ94" s="276">
        <v>0.1</v>
      </c>
      <c r="AR94" s="257"/>
      <c r="AS94" s="258"/>
      <c r="AT94" s="260">
        <v>1</v>
      </c>
      <c r="AU94" s="200"/>
      <c r="AV94" s="281">
        <f t="shared" si="32"/>
        <v>0.4</v>
      </c>
      <c r="AW94" s="282">
        <f t="shared" si="21"/>
        <v>24640</v>
      </c>
      <c r="AX94" s="171"/>
      <c r="AY94" s="174" t="s">
        <v>204</v>
      </c>
      <c r="AZ94" s="174"/>
      <c r="BA94" s="174"/>
      <c r="BB94" s="201"/>
    </row>
    <row r="95" spans="1:60" s="202" customFormat="1" ht="41.25" customHeight="1" thickBot="1">
      <c r="A95" s="809"/>
      <c r="B95" s="810"/>
      <c r="C95" s="810"/>
      <c r="D95" s="810"/>
      <c r="E95" s="810"/>
      <c r="F95" s="810"/>
      <c r="G95" s="811"/>
      <c r="H95" s="818"/>
      <c r="I95" s="819"/>
      <c r="J95" s="820"/>
      <c r="K95" s="823" t="s">
        <v>165</v>
      </c>
      <c r="L95" s="823"/>
      <c r="M95" s="823"/>
      <c r="N95" s="823"/>
      <c r="O95" s="823"/>
      <c r="P95" s="823"/>
      <c r="Q95" s="823"/>
      <c r="R95" s="823"/>
      <c r="S95" s="823"/>
      <c r="T95" s="823"/>
      <c r="U95" s="823"/>
      <c r="V95" s="823"/>
      <c r="W95" s="823"/>
      <c r="X95" s="222"/>
      <c r="Y95" s="824">
        <v>1</v>
      </c>
      <c r="Z95" s="824"/>
      <c r="AA95" s="824"/>
      <c r="AB95" s="825">
        <v>56000</v>
      </c>
      <c r="AC95" s="825"/>
      <c r="AD95" s="825">
        <f>PRODUCT(AB95,1/10)</f>
        <v>5600</v>
      </c>
      <c r="AE95" s="825"/>
      <c r="AF95" s="825">
        <f t="shared" si="31"/>
        <v>61600</v>
      </c>
      <c r="AG95" s="825"/>
      <c r="AH95" s="825"/>
      <c r="AI95" s="826" t="s">
        <v>194</v>
      </c>
      <c r="AJ95" s="826"/>
      <c r="AK95" s="826"/>
      <c r="AL95" s="826"/>
      <c r="AM95" s="827"/>
      <c r="AN95" s="206"/>
      <c r="AO95" s="253" t="s">
        <v>141</v>
      </c>
      <c r="AP95" s="254">
        <f t="shared" si="20"/>
        <v>6160</v>
      </c>
      <c r="AQ95" s="276">
        <v>0.1</v>
      </c>
      <c r="AR95" s="327"/>
      <c r="AS95" s="328"/>
      <c r="AT95" s="329">
        <v>1</v>
      </c>
      <c r="AU95" s="200"/>
      <c r="AV95" s="281">
        <f t="shared" si="32"/>
        <v>0.4</v>
      </c>
      <c r="AW95" s="282">
        <f t="shared" si="21"/>
        <v>24640</v>
      </c>
      <c r="AX95" s="171"/>
      <c r="AY95" s="174" t="s">
        <v>204</v>
      </c>
      <c r="AZ95" s="174"/>
      <c r="BA95" s="174"/>
      <c r="BB95" s="201"/>
    </row>
    <row r="96" spans="1:60" s="202" customFormat="1" ht="13.5" thickBot="1">
      <c r="B96" s="223"/>
      <c r="C96" s="223"/>
      <c r="D96" s="223"/>
      <c r="E96" s="223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4" t="s">
        <v>166</v>
      </c>
      <c r="X96" s="225"/>
      <c r="Y96" s="835">
        <f>SUM(Y20:AA95)</f>
        <v>72</v>
      </c>
      <c r="Z96" s="836"/>
      <c r="AA96" s="836"/>
      <c r="AB96" s="837">
        <f>SUM(AB22:AC95)</f>
        <v>5066000</v>
      </c>
      <c r="AC96" s="838"/>
      <c r="AD96" s="837">
        <f>SUM(AD20:AD95)</f>
        <v>187600</v>
      </c>
      <c r="AE96" s="838"/>
      <c r="AF96" s="839">
        <f t="shared" si="31"/>
        <v>5253600</v>
      </c>
      <c r="AG96" s="840"/>
      <c r="AH96" s="841"/>
      <c r="AI96" s="842"/>
      <c r="AJ96" s="843"/>
      <c r="AK96" s="843"/>
      <c r="AL96" s="843"/>
      <c r="AM96" s="844"/>
      <c r="AN96" s="206"/>
      <c r="AO96" s="355"/>
      <c r="AP96" s="339">
        <f>SUM(AP92:AP95)</f>
        <v>17160</v>
      </c>
      <c r="AQ96" s="339">
        <f>SUM(AQ92:AQ95)</f>
        <v>0.30000000000000004</v>
      </c>
      <c r="AR96" s="376">
        <f>SUM(AR92:AR95)</f>
        <v>0</v>
      </c>
      <c r="AS96" s="377">
        <f>SUM(AS92:AS95)</f>
        <v>0</v>
      </c>
      <c r="AT96" s="376">
        <f>SUM(AT92:AT95)</f>
        <v>3</v>
      </c>
      <c r="AU96" s="335"/>
      <c r="AV96" s="339">
        <f>SUM(AV92:AV95)</f>
        <v>1.2000000000000002</v>
      </c>
      <c r="AW96" s="339">
        <f>SUM(AW92:AW95)</f>
        <v>68640</v>
      </c>
      <c r="AX96" s="171"/>
      <c r="AY96" s="174"/>
      <c r="AZ96" s="174"/>
      <c r="BA96" s="210">
        <f>AP96</f>
        <v>17160</v>
      </c>
      <c r="BB96" s="201"/>
    </row>
    <row r="97" spans="1:57" ht="12.75">
      <c r="A97" s="226"/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26"/>
      <c r="AH97" s="226"/>
      <c r="AI97" s="226"/>
      <c r="AJ97" s="226"/>
      <c r="AK97" s="226"/>
      <c r="AL97" s="226"/>
      <c r="AM97" s="226"/>
      <c r="AN97" s="227"/>
      <c r="AP97" s="228"/>
      <c r="AQ97" s="228"/>
      <c r="AR97" s="372"/>
      <c r="AS97" s="372"/>
      <c r="AT97" s="372"/>
      <c r="AU97" s="198"/>
      <c r="AW97" s="210"/>
    </row>
    <row r="98" spans="1:57" s="266" customFormat="1" ht="12.75">
      <c r="A98" s="267"/>
      <c r="B98" s="267"/>
      <c r="C98" s="267"/>
      <c r="D98" s="267"/>
      <c r="E98" s="267"/>
      <c r="F98" s="267"/>
      <c r="G98" s="267"/>
      <c r="H98" s="267"/>
      <c r="I98" s="267"/>
      <c r="J98" s="267"/>
      <c r="K98" s="267"/>
      <c r="L98" s="267"/>
      <c r="M98" s="267"/>
      <c r="N98" s="267"/>
      <c r="O98" s="267"/>
      <c r="P98" s="267"/>
      <c r="Q98" s="267"/>
      <c r="R98" s="267"/>
      <c r="S98" s="267"/>
      <c r="T98" s="267"/>
      <c r="U98" s="267"/>
      <c r="V98" s="267"/>
      <c r="W98" s="267"/>
      <c r="X98" s="267"/>
      <c r="Y98" s="267"/>
      <c r="Z98" s="267"/>
      <c r="AA98" s="267"/>
      <c r="AB98" s="267"/>
      <c r="AC98" s="267"/>
      <c r="AD98" s="267"/>
      <c r="AE98" s="267"/>
      <c r="AF98" s="267"/>
      <c r="AG98" s="267"/>
      <c r="AH98" s="267"/>
      <c r="AI98" s="267"/>
      <c r="AJ98" s="267"/>
      <c r="AK98" s="267"/>
      <c r="AL98" s="267"/>
      <c r="AM98" s="267"/>
      <c r="AN98" s="227"/>
      <c r="AP98" s="373">
        <f>AP96+AP90+AP40</f>
        <v>857220</v>
      </c>
      <c r="AQ98" s="373">
        <f>AQ96+AQ90+AQ40</f>
        <v>8</v>
      </c>
      <c r="AR98" s="373">
        <f>AR96+AR90+AR40</f>
        <v>19</v>
      </c>
      <c r="AS98" s="373">
        <f>AS96+AS90+AS40</f>
        <v>22</v>
      </c>
      <c r="AT98" s="373">
        <f>AT96+AT90+AT40</f>
        <v>46</v>
      </c>
      <c r="AU98" s="373"/>
      <c r="AV98" s="373">
        <f>AV96+AV90+AV40</f>
        <v>24.5</v>
      </c>
      <c r="AW98" s="373">
        <f>AW96+AW90+AW40</f>
        <v>1843180</v>
      </c>
      <c r="AX98" s="171"/>
      <c r="AY98" s="174"/>
      <c r="AZ98" s="174"/>
      <c r="BA98" s="373">
        <f>BA96+BA90+BA40</f>
        <v>1879520</v>
      </c>
      <c r="BB98" s="175"/>
    </row>
    <row r="99" spans="1:57" s="266" customFormat="1" ht="12.75">
      <c r="A99" s="267"/>
      <c r="B99" s="267"/>
      <c r="C99" s="267"/>
      <c r="D99" s="267"/>
      <c r="E99" s="267"/>
      <c r="F99" s="267"/>
      <c r="G99" s="267"/>
      <c r="H99" s="267"/>
      <c r="I99" s="267"/>
      <c r="J99" s="267"/>
      <c r="K99" s="267"/>
      <c r="L99" s="267"/>
      <c r="M99" s="267"/>
      <c r="N99" s="267"/>
      <c r="O99" s="267"/>
      <c r="P99" s="267"/>
      <c r="Q99" s="267"/>
      <c r="R99" s="267"/>
      <c r="S99" s="267"/>
      <c r="T99" s="267"/>
      <c r="U99" s="267"/>
      <c r="V99" s="267"/>
      <c r="W99" s="267"/>
      <c r="X99" s="267"/>
      <c r="Y99" s="267"/>
      <c r="Z99" s="267"/>
      <c r="AA99" s="267"/>
      <c r="AB99" s="267"/>
      <c r="AC99" s="267"/>
      <c r="AD99" s="267"/>
      <c r="AE99" s="267"/>
      <c r="AF99" s="267"/>
      <c r="AG99" s="267"/>
      <c r="AH99" s="267"/>
      <c r="AI99" s="267"/>
      <c r="AJ99" s="267"/>
      <c r="AK99" s="267"/>
      <c r="AL99" s="267"/>
      <c r="AM99" s="267"/>
      <c r="AN99" s="227"/>
      <c r="AP99" s="373"/>
      <c r="AQ99" s="373"/>
      <c r="AR99" s="373"/>
      <c r="AS99" s="373"/>
      <c r="AT99" s="373"/>
      <c r="AU99" s="373"/>
      <c r="AV99" s="373"/>
      <c r="AW99" s="373"/>
      <c r="AX99" s="171"/>
      <c r="AY99" s="174"/>
      <c r="AZ99" s="174"/>
      <c r="BA99" s="174"/>
      <c r="BB99" s="175"/>
    </row>
    <row r="100" spans="1:57" ht="11.1" customHeight="1">
      <c r="A100" s="229" t="s">
        <v>167</v>
      </c>
      <c r="B100" s="226"/>
      <c r="C100" s="226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Z100" s="230"/>
      <c r="AA100" s="229"/>
      <c r="AB100" s="177"/>
      <c r="AC100" s="177"/>
      <c r="AD100" s="177"/>
      <c r="AE100" s="177"/>
      <c r="AF100" s="177"/>
      <c r="AG100" s="177"/>
      <c r="AH100" s="177"/>
      <c r="AI100" s="177"/>
      <c r="AJ100" s="226"/>
      <c r="AK100" s="226"/>
      <c r="AL100" s="226"/>
      <c r="AM100" s="226"/>
      <c r="AN100" s="226"/>
      <c r="AO100" s="569"/>
      <c r="AP100" s="569"/>
      <c r="AQ100" s="569"/>
      <c r="AR100" s="569"/>
      <c r="AS100" s="208"/>
    </row>
    <row r="101" spans="1:57" ht="12.75" customHeight="1">
      <c r="A101" s="226"/>
      <c r="B101" s="226"/>
      <c r="C101" s="226"/>
      <c r="D101" s="177"/>
      <c r="E101" s="177"/>
      <c r="F101" s="177"/>
      <c r="G101" s="177"/>
      <c r="Y101" s="178"/>
      <c r="AA101" s="178"/>
      <c r="AF101" s="177"/>
      <c r="AG101" s="177"/>
      <c r="AH101" s="231"/>
      <c r="AI101" s="177"/>
      <c r="AJ101" s="226"/>
      <c r="AK101" s="226"/>
      <c r="AL101" s="226"/>
      <c r="AM101" s="226"/>
      <c r="AN101" s="226"/>
      <c r="AO101" s="554"/>
      <c r="AP101" s="554"/>
      <c r="AQ101" s="554"/>
      <c r="AR101" s="554"/>
      <c r="AS101" s="232"/>
      <c r="AT101" s="197"/>
      <c r="AU101" s="233"/>
    </row>
    <row r="102" spans="1:57" ht="11.1" customHeight="1">
      <c r="A102" s="226"/>
      <c r="B102" s="226"/>
      <c r="C102" s="226"/>
      <c r="D102" s="177"/>
      <c r="E102" s="177"/>
      <c r="F102" s="177"/>
      <c r="G102" s="177"/>
      <c r="Y102" s="178"/>
      <c r="Z102" s="175"/>
      <c r="AA102" s="178"/>
      <c r="AF102" s="177"/>
      <c r="AG102" s="177"/>
      <c r="AH102" s="177"/>
      <c r="AI102" s="177"/>
      <c r="AJ102" s="226"/>
      <c r="AK102" s="226"/>
      <c r="AL102" s="226"/>
      <c r="AM102" s="226"/>
      <c r="AN102" s="226"/>
      <c r="AO102" s="226"/>
      <c r="AP102" s="226"/>
      <c r="AQ102" s="261"/>
      <c r="AR102" s="234"/>
    </row>
    <row r="103" spans="1:57" ht="12.75">
      <c r="A103" s="235" t="s">
        <v>168</v>
      </c>
      <c r="B103" s="235"/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230"/>
      <c r="AA103" s="235"/>
      <c r="AB103" s="235"/>
      <c r="AC103" s="235"/>
      <c r="AD103" s="235"/>
      <c r="AE103" s="235"/>
      <c r="AF103" s="177"/>
      <c r="AG103" s="177"/>
      <c r="AH103" s="177"/>
      <c r="AI103" s="177"/>
      <c r="AJ103" s="226"/>
      <c r="AK103" s="226"/>
      <c r="AL103" s="226"/>
      <c r="AM103" s="226"/>
      <c r="AN103" s="226"/>
      <c r="AO103" s="226"/>
      <c r="AP103" s="223"/>
      <c r="AQ103" s="262"/>
      <c r="AR103" s="234"/>
      <c r="AS103" s="232"/>
      <c r="AT103" s="232"/>
      <c r="AU103" s="232"/>
    </row>
    <row r="104" spans="1:57" ht="11.1" customHeight="1">
      <c r="A104" s="226"/>
      <c r="B104" s="226"/>
      <c r="C104" s="226"/>
      <c r="D104" s="177"/>
      <c r="E104" s="177"/>
      <c r="G104" s="177"/>
      <c r="H104" s="177"/>
      <c r="I104" s="177"/>
      <c r="J104" s="177"/>
      <c r="K104" s="177"/>
      <c r="L104" s="177"/>
      <c r="M104" s="177"/>
      <c r="N104" s="177"/>
      <c r="O104" s="833"/>
      <c r="P104" s="833"/>
      <c r="Q104" s="833"/>
      <c r="R104" s="177"/>
      <c r="S104" s="177"/>
      <c r="T104" s="833"/>
      <c r="U104" s="833"/>
      <c r="V104" s="833"/>
      <c r="W104" s="177"/>
      <c r="X104" s="177"/>
      <c r="Y104" s="834"/>
      <c r="Z104" s="834"/>
      <c r="AA104" s="834"/>
      <c r="AB104" s="833"/>
      <c r="AC104" s="833"/>
      <c r="AD104" s="833"/>
      <c r="AE104" s="833"/>
      <c r="AF104" s="236"/>
      <c r="AG104" s="177"/>
      <c r="AH104" s="177"/>
      <c r="AI104" s="177"/>
      <c r="AJ104" s="226"/>
      <c r="AK104" s="226"/>
      <c r="AL104" s="226"/>
      <c r="AM104" s="226"/>
      <c r="AN104" s="226"/>
      <c r="AO104" s="237"/>
      <c r="AP104" s="238"/>
      <c r="AQ104" s="238"/>
      <c r="AR104" s="239"/>
      <c r="AS104" s="232"/>
      <c r="AT104" s="232"/>
      <c r="AU104" s="232"/>
    </row>
    <row r="105" spans="1:57" ht="12.75">
      <c r="A105" s="235" t="s">
        <v>169</v>
      </c>
      <c r="B105" s="226"/>
      <c r="C105" s="226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236"/>
      <c r="P105" s="236"/>
      <c r="Q105" s="236"/>
      <c r="R105" s="177"/>
      <c r="S105" s="177"/>
      <c r="T105" s="236"/>
      <c r="U105" s="236"/>
      <c r="V105" s="236"/>
      <c r="W105" s="177"/>
      <c r="X105" s="177"/>
      <c r="Z105" s="230"/>
      <c r="AB105" s="236"/>
      <c r="AC105" s="236"/>
      <c r="AD105" s="236"/>
      <c r="AE105" s="236"/>
      <c r="AF105" s="177"/>
      <c r="AG105" s="177"/>
      <c r="AH105" s="177"/>
      <c r="AI105" s="177"/>
      <c r="AJ105" s="226"/>
      <c r="AK105" s="226"/>
      <c r="AL105" s="226"/>
      <c r="AM105" s="226"/>
      <c r="AN105" s="226"/>
      <c r="AO105" s="238"/>
      <c r="AP105" s="240"/>
      <c r="AQ105" s="240"/>
      <c r="AR105" s="241"/>
      <c r="AS105" s="232"/>
      <c r="AT105" s="232"/>
      <c r="AU105" s="232"/>
    </row>
    <row r="106" spans="1:57" ht="11.25" customHeight="1">
      <c r="A106" s="226"/>
      <c r="B106" s="226"/>
      <c r="C106" s="226"/>
      <c r="D106" s="226"/>
      <c r="E106" s="226"/>
      <c r="F106" s="226"/>
      <c r="G106" s="226"/>
      <c r="H106" s="226"/>
      <c r="I106" s="226"/>
      <c r="J106" s="226"/>
      <c r="K106" s="226"/>
      <c r="L106" s="226"/>
      <c r="M106" s="226"/>
      <c r="N106" s="226"/>
      <c r="O106" s="831"/>
      <c r="P106" s="831"/>
      <c r="Q106" s="831"/>
      <c r="R106" s="226"/>
      <c r="S106" s="226"/>
      <c r="T106" s="831"/>
      <c r="U106" s="831"/>
      <c r="V106" s="831"/>
      <c r="W106" s="226"/>
      <c r="X106" s="226"/>
      <c r="Y106" s="226"/>
      <c r="Z106" s="226"/>
      <c r="AA106" s="226"/>
      <c r="AB106" s="226"/>
      <c r="AC106" s="226"/>
      <c r="AD106" s="226"/>
      <c r="AE106" s="226"/>
      <c r="AF106" s="226"/>
      <c r="AG106" s="226"/>
      <c r="AH106" s="226"/>
      <c r="AI106" s="226"/>
      <c r="AJ106" s="226"/>
      <c r="AK106" s="226"/>
      <c r="AL106" s="226"/>
      <c r="AM106" s="226"/>
      <c r="AN106" s="226"/>
      <c r="AO106" s="237"/>
      <c r="AP106" s="238"/>
      <c r="AQ106" s="238"/>
      <c r="AR106" s="239"/>
      <c r="AS106" s="232"/>
      <c r="AT106" s="232"/>
      <c r="AU106" s="232"/>
    </row>
    <row r="107" spans="1:57" ht="11.1" customHeight="1">
      <c r="Y107" s="178"/>
      <c r="Z107" s="178"/>
      <c r="AA107" s="178"/>
      <c r="AN107" s="226"/>
      <c r="AO107" s="554"/>
      <c r="AP107" s="554"/>
      <c r="AQ107" s="554"/>
      <c r="AR107" s="554"/>
      <c r="AS107" s="232"/>
      <c r="AT107" s="232"/>
      <c r="AU107" s="232"/>
      <c r="AW107" s="174"/>
    </row>
    <row r="108" spans="1:57" ht="12.75">
      <c r="Y108" s="178"/>
      <c r="Z108" s="178"/>
      <c r="AA108" s="178"/>
      <c r="AS108" s="232"/>
      <c r="AT108" s="232"/>
      <c r="AU108" s="232"/>
    </row>
    <row r="109" spans="1:57" ht="12" customHeight="1">
      <c r="Y109" s="178"/>
      <c r="Z109" s="178"/>
      <c r="AA109" s="178"/>
      <c r="AG109" s="832"/>
      <c r="AH109" s="832"/>
      <c r="AI109" s="242"/>
      <c r="AJ109" s="832"/>
      <c r="AK109" s="832"/>
      <c r="AL109" s="832"/>
      <c r="AM109" s="832"/>
      <c r="AS109" s="243"/>
      <c r="AT109" s="244"/>
    </row>
    <row r="110" spans="1:57">
      <c r="Y110" s="178"/>
      <c r="Z110" s="178"/>
      <c r="AA110" s="178"/>
      <c r="AG110" s="245"/>
      <c r="AH110" s="245"/>
      <c r="AI110" s="245"/>
      <c r="AJ110" s="245"/>
      <c r="AK110" s="245"/>
      <c r="AL110" s="245"/>
      <c r="AM110" s="245"/>
    </row>
    <row r="111" spans="1:57">
      <c r="Y111" s="178"/>
      <c r="Z111" s="178"/>
      <c r="AA111" s="178"/>
      <c r="AG111" s="828"/>
      <c r="AH111" s="828"/>
      <c r="AI111" s="828"/>
      <c r="AJ111" s="828"/>
      <c r="AK111" s="828"/>
      <c r="AL111" s="828"/>
      <c r="AM111" s="828"/>
      <c r="AS111" s="243"/>
    </row>
    <row r="112" spans="1:57" s="247" customFormat="1">
      <c r="A112" s="178"/>
      <c r="B112" s="178"/>
      <c r="C112" s="178"/>
      <c r="D112" s="178"/>
      <c r="E112" s="178"/>
      <c r="F112" s="178"/>
      <c r="G112" s="178"/>
      <c r="H112" s="178"/>
      <c r="I112" s="178"/>
      <c r="J112" s="178"/>
      <c r="K112" s="178"/>
      <c r="L112" s="178"/>
      <c r="M112" s="178"/>
      <c r="N112" s="178"/>
      <c r="O112" s="178"/>
      <c r="P112" s="178"/>
      <c r="Q112" s="178"/>
      <c r="R112" s="178"/>
      <c r="S112" s="246"/>
      <c r="T112" s="246"/>
      <c r="U112" s="246"/>
      <c r="V112" s="246"/>
      <c r="W112" s="246"/>
      <c r="X112" s="246"/>
      <c r="Y112" s="246"/>
      <c r="Z112" s="178"/>
      <c r="AA112" s="178"/>
      <c r="AB112" s="178"/>
      <c r="AC112" s="178"/>
      <c r="AD112" s="178"/>
      <c r="AE112" s="178"/>
      <c r="AF112" s="178"/>
      <c r="AG112" s="828"/>
      <c r="AH112" s="828"/>
      <c r="AI112" s="829"/>
      <c r="AJ112" s="829"/>
      <c r="AK112" s="829"/>
      <c r="AL112" s="829"/>
      <c r="AM112" s="829"/>
      <c r="AN112" s="178"/>
      <c r="AO112" s="178"/>
      <c r="AP112" s="178"/>
      <c r="AQ112" s="264"/>
      <c r="AR112" s="171"/>
      <c r="AS112" s="171"/>
      <c r="AT112" s="172"/>
      <c r="AU112" s="173"/>
      <c r="AV112" s="171"/>
      <c r="AW112" s="171"/>
      <c r="AX112" s="171"/>
      <c r="AY112" s="174"/>
      <c r="AZ112" s="174"/>
      <c r="BA112" s="174"/>
      <c r="BB112" s="175"/>
      <c r="BC112" s="178"/>
      <c r="BD112" s="178"/>
      <c r="BE112" s="178"/>
    </row>
    <row r="113" spans="1:57" s="247" customFormat="1">
      <c r="A113" s="178"/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264"/>
      <c r="AR113" s="171"/>
      <c r="AS113" s="243"/>
      <c r="AT113" s="172"/>
      <c r="AU113" s="173"/>
      <c r="AV113" s="171"/>
      <c r="AW113" s="171"/>
      <c r="AX113" s="171"/>
      <c r="AY113" s="174"/>
      <c r="AZ113" s="174"/>
      <c r="BA113" s="174"/>
      <c r="BB113" s="175"/>
      <c r="BC113" s="178"/>
      <c r="BD113" s="178"/>
      <c r="BE113" s="178"/>
    </row>
    <row r="115" spans="1:57" s="247" customFormat="1">
      <c r="A115" s="178"/>
      <c r="B115" s="178"/>
      <c r="C115" s="178"/>
      <c r="D115" s="178"/>
      <c r="E115" s="178"/>
      <c r="F115" s="178"/>
      <c r="G115" s="178"/>
      <c r="H115" s="178"/>
      <c r="I115" s="178"/>
      <c r="J115" s="248"/>
      <c r="K115" s="248"/>
      <c r="L115" s="248"/>
      <c r="M115" s="248"/>
      <c r="N115" s="248"/>
      <c r="O115" s="248"/>
      <c r="P115" s="248"/>
      <c r="Q115" s="178"/>
      <c r="R115" s="178"/>
      <c r="S115" s="178"/>
      <c r="T115" s="178"/>
      <c r="U115" s="178"/>
      <c r="V115" s="178"/>
      <c r="W115" s="178"/>
      <c r="X115" s="178"/>
      <c r="Y115" s="177"/>
      <c r="Z115" s="177"/>
      <c r="AA115" s="177"/>
      <c r="AB115" s="178"/>
      <c r="AC115" s="178"/>
      <c r="AD115" s="178"/>
      <c r="AE115" s="178"/>
      <c r="AF115" s="178"/>
      <c r="AG115" s="178"/>
      <c r="AH115" s="178"/>
      <c r="AI115" s="178"/>
      <c r="AJ115" s="178"/>
      <c r="AK115" s="178"/>
      <c r="AL115" s="178"/>
      <c r="AM115" s="178"/>
      <c r="AN115" s="178"/>
      <c r="AO115" s="178"/>
      <c r="AP115" s="178"/>
      <c r="AQ115" s="264"/>
      <c r="AR115" s="171"/>
      <c r="AS115" s="171"/>
      <c r="AT115" s="172"/>
      <c r="AU115" s="173"/>
      <c r="AV115" s="171"/>
      <c r="AW115" s="171"/>
      <c r="AX115" s="171"/>
      <c r="AY115" s="174"/>
      <c r="AZ115" s="174"/>
      <c r="BA115" s="174"/>
      <c r="BB115" s="175"/>
      <c r="BC115" s="178"/>
      <c r="BD115" s="178"/>
      <c r="BE115" s="178"/>
    </row>
  </sheetData>
  <mergeCells count="520">
    <mergeCell ref="A56:G74"/>
    <mergeCell ref="H56:J74"/>
    <mergeCell ref="AI74:AM74"/>
    <mergeCell ref="Y70:AA70"/>
    <mergeCell ref="AB70:AC70"/>
    <mergeCell ref="AD70:AE70"/>
    <mergeCell ref="AF70:AH70"/>
    <mergeCell ref="K63:X63"/>
    <mergeCell ref="Y63:AA63"/>
    <mergeCell ref="AD63:AE63"/>
    <mergeCell ref="AF63:AH63"/>
    <mergeCell ref="AI63:AM63"/>
    <mergeCell ref="AF62:AH62"/>
    <mergeCell ref="AI59:AM59"/>
    <mergeCell ref="AI62:AM62"/>
    <mergeCell ref="K61:X61"/>
    <mergeCell ref="Y61:AA61"/>
    <mergeCell ref="AG112:AH112"/>
    <mergeCell ref="AI112:AM112"/>
    <mergeCell ref="AR17:AR19"/>
    <mergeCell ref="AS17:AS19"/>
    <mergeCell ref="AT17:AT19"/>
    <mergeCell ref="O106:Q106"/>
    <mergeCell ref="T106:V106"/>
    <mergeCell ref="AO107:AR107"/>
    <mergeCell ref="AG109:AH109"/>
    <mergeCell ref="AJ109:AM109"/>
    <mergeCell ref="AG111:AH111"/>
    <mergeCell ref="AI111:AM111"/>
    <mergeCell ref="AO101:AR101"/>
    <mergeCell ref="O104:Q104"/>
    <mergeCell ref="T104:V104"/>
    <mergeCell ref="Y104:AA104"/>
    <mergeCell ref="AB104:AC104"/>
    <mergeCell ref="AD104:AE104"/>
    <mergeCell ref="Y96:AA96"/>
    <mergeCell ref="AB96:AC96"/>
    <mergeCell ref="AD96:AE96"/>
    <mergeCell ref="AF96:AH96"/>
    <mergeCell ref="AI96:AM96"/>
    <mergeCell ref="K57:X57"/>
    <mergeCell ref="AO100:AR100"/>
    <mergeCell ref="AF94:AH94"/>
    <mergeCell ref="AI94:AM94"/>
    <mergeCell ref="K95:W95"/>
    <mergeCell ref="Y95:AA95"/>
    <mergeCell ref="AB95:AC95"/>
    <mergeCell ref="AD95:AE95"/>
    <mergeCell ref="AF95:AH95"/>
    <mergeCell ref="AI95:AM95"/>
    <mergeCell ref="A92:G95"/>
    <mergeCell ref="H92:J95"/>
    <mergeCell ref="K92:W92"/>
    <mergeCell ref="Y92:AA92"/>
    <mergeCell ref="AB92:AC92"/>
    <mergeCell ref="AD92:AE92"/>
    <mergeCell ref="K94:W94"/>
    <mergeCell ref="Y94:AA94"/>
    <mergeCell ref="AB94:AC94"/>
    <mergeCell ref="AD94:AE94"/>
    <mergeCell ref="AF92:AH92"/>
    <mergeCell ref="AI92:AM92"/>
    <mergeCell ref="Y90:AA90"/>
    <mergeCell ref="Y91:AA91"/>
    <mergeCell ref="K93:W93"/>
    <mergeCell ref="Y93:AA93"/>
    <mergeCell ref="AB93:AC93"/>
    <mergeCell ref="AD93:AE93"/>
    <mergeCell ref="AF93:AH93"/>
    <mergeCell ref="AI93:AM93"/>
    <mergeCell ref="AI61:AM61"/>
    <mergeCell ref="AI60:AM60"/>
    <mergeCell ref="K58:X58"/>
    <mergeCell ref="Y58:AA58"/>
    <mergeCell ref="AB61:AC61"/>
    <mergeCell ref="AD58:AE58"/>
    <mergeCell ref="AF58:AH58"/>
    <mergeCell ref="AI58:AM58"/>
    <mergeCell ref="K88:X88"/>
    <mergeCell ref="Y88:AA88"/>
    <mergeCell ref="AB88:AC88"/>
    <mergeCell ref="AF88:AH88"/>
    <mergeCell ref="K73:X73"/>
    <mergeCell ref="Y73:AA73"/>
    <mergeCell ref="AB73:AC73"/>
    <mergeCell ref="AF73:AH73"/>
    <mergeCell ref="K74:X74"/>
    <mergeCell ref="Y74:AA74"/>
    <mergeCell ref="AB74:AC74"/>
    <mergeCell ref="AD74:AE74"/>
    <mergeCell ref="AF74:AH74"/>
    <mergeCell ref="Y81:AA81"/>
    <mergeCell ref="AB81:AC81"/>
    <mergeCell ref="AD81:AE81"/>
    <mergeCell ref="K81:X81"/>
    <mergeCell ref="K56:X56"/>
    <mergeCell ref="Y56:AA56"/>
    <mergeCell ref="AB56:AC56"/>
    <mergeCell ref="AD56:AE56"/>
    <mergeCell ref="K60:X60"/>
    <mergeCell ref="Y59:AA59"/>
    <mergeCell ref="Y57:AA57"/>
    <mergeCell ref="AB57:AC57"/>
    <mergeCell ref="AD57:AE57"/>
    <mergeCell ref="AD61:AE61"/>
    <mergeCell ref="K79:X79"/>
    <mergeCell ref="K77:X77"/>
    <mergeCell ref="Y69:AA69"/>
    <mergeCell ref="AB69:AC69"/>
    <mergeCell ref="AD69:AE69"/>
    <mergeCell ref="K69:W69"/>
    <mergeCell ref="K70:W70"/>
    <mergeCell ref="Y86:AA86"/>
    <mergeCell ref="AB86:AC86"/>
    <mergeCell ref="AD86:AE86"/>
    <mergeCell ref="AF86:AH86"/>
    <mergeCell ref="AI86:AM86"/>
    <mergeCell ref="K86:W86"/>
    <mergeCell ref="K89:W89"/>
    <mergeCell ref="Y89:AA89"/>
    <mergeCell ref="AB89:AC89"/>
    <mergeCell ref="AD89:AE89"/>
    <mergeCell ref="AF89:AH89"/>
    <mergeCell ref="AI89:AM89"/>
    <mergeCell ref="K87:W87"/>
    <mergeCell ref="Y87:AA87"/>
    <mergeCell ref="AB87:AC87"/>
    <mergeCell ref="AD87:AE87"/>
    <mergeCell ref="AF87:AH87"/>
    <mergeCell ref="A75:G89"/>
    <mergeCell ref="AF60:AH60"/>
    <mergeCell ref="AI70:AM70"/>
    <mergeCell ref="AB58:AC58"/>
    <mergeCell ref="K71:W71"/>
    <mergeCell ref="Y71:AA71"/>
    <mergeCell ref="AB71:AC71"/>
    <mergeCell ref="AD71:AE71"/>
    <mergeCell ref="AF71:AH71"/>
    <mergeCell ref="AI71:AM71"/>
    <mergeCell ref="AF75:AH75"/>
    <mergeCell ref="AI75:AM75"/>
    <mergeCell ref="K75:X75"/>
    <mergeCell ref="Y75:AA75"/>
    <mergeCell ref="AB75:AC75"/>
    <mergeCell ref="AD75:AE75"/>
    <mergeCell ref="K78:X78"/>
    <mergeCell ref="Y78:AA78"/>
    <mergeCell ref="AB78:AC78"/>
    <mergeCell ref="AD78:AE78"/>
    <mergeCell ref="K76:X76"/>
    <mergeCell ref="Y76:AA76"/>
    <mergeCell ref="AB76:AC76"/>
    <mergeCell ref="AD76:AE76"/>
    <mergeCell ref="AD64:AE64"/>
    <mergeCell ref="AF64:AH64"/>
    <mergeCell ref="AI64:AM64"/>
    <mergeCell ref="AD59:AE59"/>
    <mergeCell ref="AF59:AH59"/>
    <mergeCell ref="AB49:AC49"/>
    <mergeCell ref="AD49:AE49"/>
    <mergeCell ref="AF49:AH49"/>
    <mergeCell ref="AI49:AM49"/>
    <mergeCell ref="AB62:AC62"/>
    <mergeCell ref="AD62:AE62"/>
    <mergeCell ref="AB60:AC60"/>
    <mergeCell ref="AD60:AE60"/>
    <mergeCell ref="AB63:AC63"/>
    <mergeCell ref="AF56:AH56"/>
    <mergeCell ref="AI56:AM56"/>
    <mergeCell ref="AI53:AM53"/>
    <mergeCell ref="AD55:AE55"/>
    <mergeCell ref="AF55:AH55"/>
    <mergeCell ref="AI55:AM55"/>
    <mergeCell ref="AI54:AM54"/>
    <mergeCell ref="AF57:AH57"/>
    <mergeCell ref="AI57:AM57"/>
    <mergeCell ref="AF61:AH61"/>
    <mergeCell ref="AF51:AH51"/>
    <mergeCell ref="AI51:AM51"/>
    <mergeCell ref="AI52:AM52"/>
    <mergeCell ref="AD48:AE48"/>
    <mergeCell ref="Y48:AA48"/>
    <mergeCell ref="AB48:AC48"/>
    <mergeCell ref="AF48:AH48"/>
    <mergeCell ref="AI48:AM48"/>
    <mergeCell ref="Y52:AA52"/>
    <mergeCell ref="AB52:AC52"/>
    <mergeCell ref="AF47:AH47"/>
    <mergeCell ref="AI47:AM47"/>
    <mergeCell ref="K50:W50"/>
    <mergeCell ref="Y50:AA50"/>
    <mergeCell ref="AB50:AC50"/>
    <mergeCell ref="AD50:AE50"/>
    <mergeCell ref="AF50:AH50"/>
    <mergeCell ref="AI50:AM50"/>
    <mergeCell ref="AF43:AH43"/>
    <mergeCell ref="AI43:AM43"/>
    <mergeCell ref="K46:W46"/>
    <mergeCell ref="Y46:AA46"/>
    <mergeCell ref="AD46:AE46"/>
    <mergeCell ref="AF46:AH46"/>
    <mergeCell ref="AI46:AM46"/>
    <mergeCell ref="AF44:AH44"/>
    <mergeCell ref="AI44:AM44"/>
    <mergeCell ref="Y45:AA45"/>
    <mergeCell ref="AB45:AC45"/>
    <mergeCell ref="AD45:AE45"/>
    <mergeCell ref="AF45:AH45"/>
    <mergeCell ref="AI45:AM45"/>
    <mergeCell ref="AD44:AE44"/>
    <mergeCell ref="AB46:AC46"/>
    <mergeCell ref="K45:W45"/>
    <mergeCell ref="K48:X48"/>
    <mergeCell ref="K51:W51"/>
    <mergeCell ref="Y51:AA51"/>
    <mergeCell ref="AB51:AC51"/>
    <mergeCell ref="AD51:AE51"/>
    <mergeCell ref="K49:W49"/>
    <mergeCell ref="Y49:AA49"/>
    <mergeCell ref="K42:X42"/>
    <mergeCell ref="Y42:AA42"/>
    <mergeCell ref="AB42:AC42"/>
    <mergeCell ref="AD42:AE42"/>
    <mergeCell ref="AF42:AH42"/>
    <mergeCell ref="AI42:AM42"/>
    <mergeCell ref="Y40:AA40"/>
    <mergeCell ref="Y41:AA41"/>
    <mergeCell ref="K53:W53"/>
    <mergeCell ref="Y53:AA53"/>
    <mergeCell ref="AB53:AC53"/>
    <mergeCell ref="AD53:AE53"/>
    <mergeCell ref="AF53:AH53"/>
    <mergeCell ref="K43:X43"/>
    <mergeCell ref="Y43:AA43"/>
    <mergeCell ref="AB43:AC43"/>
    <mergeCell ref="AD43:AE43"/>
    <mergeCell ref="K47:W47"/>
    <mergeCell ref="Y47:AA47"/>
    <mergeCell ref="AB47:AC47"/>
    <mergeCell ref="AD47:AE47"/>
    <mergeCell ref="K44:W44"/>
    <mergeCell ref="Y44:AA44"/>
    <mergeCell ref="AB44:AC44"/>
    <mergeCell ref="AF37:AH37"/>
    <mergeCell ref="AI37:AM37"/>
    <mergeCell ref="K38:X38"/>
    <mergeCell ref="Y38:AA38"/>
    <mergeCell ref="AB38:AC38"/>
    <mergeCell ref="AD38:AE38"/>
    <mergeCell ref="AF38:AH38"/>
    <mergeCell ref="AI38:AM38"/>
    <mergeCell ref="A37:G39"/>
    <mergeCell ref="H37:J39"/>
    <mergeCell ref="K37:X37"/>
    <mergeCell ref="Y37:AA37"/>
    <mergeCell ref="AB37:AC37"/>
    <mergeCell ref="AD37:AE37"/>
    <mergeCell ref="K39:X39"/>
    <mergeCell ref="Y39:AA39"/>
    <mergeCell ref="AB39:AC39"/>
    <mergeCell ref="AD39:AE39"/>
    <mergeCell ref="AF39:AH39"/>
    <mergeCell ref="AI39:AM39"/>
    <mergeCell ref="K33:X33"/>
    <mergeCell ref="Y33:AA33"/>
    <mergeCell ref="AB33:AC33"/>
    <mergeCell ref="AD33:AE33"/>
    <mergeCell ref="AF33:AH33"/>
    <mergeCell ref="AI33:AM33"/>
    <mergeCell ref="K36:X36"/>
    <mergeCell ref="Y36:AA36"/>
    <mergeCell ref="AB36:AC36"/>
    <mergeCell ref="AD36:AE36"/>
    <mergeCell ref="AF36:AH36"/>
    <mergeCell ref="AI36:AM36"/>
    <mergeCell ref="K34:X34"/>
    <mergeCell ref="Y34:AA34"/>
    <mergeCell ref="AB34:AC34"/>
    <mergeCell ref="AD34:AE34"/>
    <mergeCell ref="AF34:AH34"/>
    <mergeCell ref="AI34:AM34"/>
    <mergeCell ref="K35:X35"/>
    <mergeCell ref="Y35:AA35"/>
    <mergeCell ref="AB35:AC35"/>
    <mergeCell ref="AD35:AE35"/>
    <mergeCell ref="AF35:AH35"/>
    <mergeCell ref="AI35:AM35"/>
    <mergeCell ref="K31:X31"/>
    <mergeCell ref="Y31:AA31"/>
    <mergeCell ref="AB31:AC31"/>
    <mergeCell ref="AD31:AE31"/>
    <mergeCell ref="AF31:AH31"/>
    <mergeCell ref="AI31:AM31"/>
    <mergeCell ref="AF30:AH30"/>
    <mergeCell ref="AI30:AM30"/>
    <mergeCell ref="K32:X32"/>
    <mergeCell ref="Y32:AA32"/>
    <mergeCell ref="AB32:AC32"/>
    <mergeCell ref="AD32:AE32"/>
    <mergeCell ref="AF32:AH32"/>
    <mergeCell ref="AI32:AM32"/>
    <mergeCell ref="AF29:AH29"/>
    <mergeCell ref="AI29:AM29"/>
    <mergeCell ref="K29:X29"/>
    <mergeCell ref="Y29:AA29"/>
    <mergeCell ref="AB29:AC29"/>
    <mergeCell ref="AD29:AE29"/>
    <mergeCell ref="K30:X30"/>
    <mergeCell ref="Y30:AA30"/>
    <mergeCell ref="AB30:AC30"/>
    <mergeCell ref="AD30:AE30"/>
    <mergeCell ref="K26:X26"/>
    <mergeCell ref="Y26:AA26"/>
    <mergeCell ref="AB26:AC26"/>
    <mergeCell ref="AD26:AE26"/>
    <mergeCell ref="AF26:AH26"/>
    <mergeCell ref="AI26:AM26"/>
    <mergeCell ref="K28:X28"/>
    <mergeCell ref="Y28:AA28"/>
    <mergeCell ref="AB28:AC28"/>
    <mergeCell ref="AD28:AE28"/>
    <mergeCell ref="AF28:AH28"/>
    <mergeCell ref="AI28:AM28"/>
    <mergeCell ref="K27:X27"/>
    <mergeCell ref="Y27:AA27"/>
    <mergeCell ref="AB27:AC27"/>
    <mergeCell ref="AD27:AE27"/>
    <mergeCell ref="AF27:AH27"/>
    <mergeCell ref="AI27:AM27"/>
    <mergeCell ref="Y25:AA25"/>
    <mergeCell ref="AB25:AC25"/>
    <mergeCell ref="AD25:AE25"/>
    <mergeCell ref="AF25:AH25"/>
    <mergeCell ref="AI25:AM25"/>
    <mergeCell ref="K24:X24"/>
    <mergeCell ref="Y24:AA24"/>
    <mergeCell ref="AB24:AC24"/>
    <mergeCell ref="AD24:AE24"/>
    <mergeCell ref="AF24:AH24"/>
    <mergeCell ref="AI24:AM24"/>
    <mergeCell ref="K25:W25"/>
    <mergeCell ref="K23:W23"/>
    <mergeCell ref="Y23:AA23"/>
    <mergeCell ref="AB23:AC23"/>
    <mergeCell ref="AD23:AE23"/>
    <mergeCell ref="AF23:AH23"/>
    <mergeCell ref="AI23:AM23"/>
    <mergeCell ref="K22:X22"/>
    <mergeCell ref="Y22:AA22"/>
    <mergeCell ref="AB22:AC22"/>
    <mergeCell ref="AD22:AE22"/>
    <mergeCell ref="AF22:AH22"/>
    <mergeCell ref="AI22:AM22"/>
    <mergeCell ref="K21:X21"/>
    <mergeCell ref="Y21:AA21"/>
    <mergeCell ref="AB21:AC21"/>
    <mergeCell ref="AD21:AE21"/>
    <mergeCell ref="AF21:AH21"/>
    <mergeCell ref="AI21:AM21"/>
    <mergeCell ref="AF19:AH19"/>
    <mergeCell ref="AI19:AM19"/>
    <mergeCell ref="K20:X20"/>
    <mergeCell ref="Y20:AA20"/>
    <mergeCell ref="AB20:AC20"/>
    <mergeCell ref="AD20:AE20"/>
    <mergeCell ref="AF20:AH20"/>
    <mergeCell ref="AI20:AM20"/>
    <mergeCell ref="AI15:AK15"/>
    <mergeCell ref="A16:AR16"/>
    <mergeCell ref="A17:J17"/>
    <mergeCell ref="K17:X18"/>
    <mergeCell ref="Y17:AA18"/>
    <mergeCell ref="AB17:AC18"/>
    <mergeCell ref="AD17:AE17"/>
    <mergeCell ref="AF17:AH18"/>
    <mergeCell ref="AI17:AM18"/>
    <mergeCell ref="A18:G18"/>
    <mergeCell ref="H18:J18"/>
    <mergeCell ref="AD18:AE18"/>
    <mergeCell ref="A19:G19"/>
    <mergeCell ref="H19:J19"/>
    <mergeCell ref="K19:X19"/>
    <mergeCell ref="Y19:AA19"/>
    <mergeCell ref="AB19:AC19"/>
    <mergeCell ref="AD19:AE19"/>
    <mergeCell ref="A1:AR1"/>
    <mergeCell ref="A4:AR4"/>
    <mergeCell ref="AF5:AJ5"/>
    <mergeCell ref="AF6:AJ6"/>
    <mergeCell ref="A7:AC7"/>
    <mergeCell ref="AF7:AJ7"/>
    <mergeCell ref="A12:AE12"/>
    <mergeCell ref="AF12:AN12"/>
    <mergeCell ref="AO12:AP12"/>
    <mergeCell ref="A10:O10"/>
    <mergeCell ref="P10:T10"/>
    <mergeCell ref="U10:AB10"/>
    <mergeCell ref="AC10:AR10"/>
    <mergeCell ref="E11:G11"/>
    <mergeCell ref="J11:M11"/>
    <mergeCell ref="P11:Q11"/>
    <mergeCell ref="A8:AM8"/>
    <mergeCell ref="AN8:AR8"/>
    <mergeCell ref="A9:O9"/>
    <mergeCell ref="P9:T9"/>
    <mergeCell ref="U9:AB9"/>
    <mergeCell ref="AC9:AR9"/>
    <mergeCell ref="A13:AR13"/>
    <mergeCell ref="A14:AB14"/>
    <mergeCell ref="AF14:AG14"/>
    <mergeCell ref="R11:AR11"/>
    <mergeCell ref="K85:W85"/>
    <mergeCell ref="Y85:AA85"/>
    <mergeCell ref="AB85:AC85"/>
    <mergeCell ref="AD85:AE85"/>
    <mergeCell ref="AF85:AH85"/>
    <mergeCell ref="AI65:AM65"/>
    <mergeCell ref="K66:X66"/>
    <mergeCell ref="Y66:AA66"/>
    <mergeCell ref="AB66:AC66"/>
    <mergeCell ref="AD66:AE66"/>
    <mergeCell ref="AF66:AH66"/>
    <mergeCell ref="AI66:AM66"/>
    <mergeCell ref="AI81:AM81"/>
    <mergeCell ref="Y82:AA82"/>
    <mergeCell ref="AB82:AC82"/>
    <mergeCell ref="AD82:AE82"/>
    <mergeCell ref="AF82:AH82"/>
    <mergeCell ref="AI82:AM82"/>
    <mergeCell ref="AF76:AH76"/>
    <mergeCell ref="AI76:AM76"/>
    <mergeCell ref="AF78:AH78"/>
    <mergeCell ref="AI78:AM78"/>
    <mergeCell ref="Y79:AA79"/>
    <mergeCell ref="AB79:AC79"/>
    <mergeCell ref="Y72:AA72"/>
    <mergeCell ref="AB72:AC72"/>
    <mergeCell ref="AD72:AE72"/>
    <mergeCell ref="AF72:AH72"/>
    <mergeCell ref="AI72:AM72"/>
    <mergeCell ref="K72:W72"/>
    <mergeCell ref="K84:W84"/>
    <mergeCell ref="Y84:AA84"/>
    <mergeCell ref="AB84:AC84"/>
    <mergeCell ref="AD84:AE84"/>
    <mergeCell ref="AF84:AH84"/>
    <mergeCell ref="AI84:AM84"/>
    <mergeCell ref="AD79:AE79"/>
    <mergeCell ref="AF79:AH79"/>
    <mergeCell ref="AI79:AM79"/>
    <mergeCell ref="Y77:AA77"/>
    <mergeCell ref="AB77:AC77"/>
    <mergeCell ref="AD77:AE77"/>
    <mergeCell ref="AF77:AH77"/>
    <mergeCell ref="AI77:AM77"/>
    <mergeCell ref="K83:W83"/>
    <mergeCell ref="Y83:AA83"/>
    <mergeCell ref="AB83:AC83"/>
    <mergeCell ref="AD83:AE83"/>
    <mergeCell ref="K67:W67"/>
    <mergeCell ref="Y67:AA67"/>
    <mergeCell ref="AB67:AC67"/>
    <mergeCell ref="K68:W68"/>
    <mergeCell ref="Y68:AA68"/>
    <mergeCell ref="AB68:AC68"/>
    <mergeCell ref="K65:X65"/>
    <mergeCell ref="Y65:AA65"/>
    <mergeCell ref="AB65:AC65"/>
    <mergeCell ref="K55:W55"/>
    <mergeCell ref="Y55:AA55"/>
    <mergeCell ref="AB55:AC55"/>
    <mergeCell ref="K62:X62"/>
    <mergeCell ref="Y60:AA60"/>
    <mergeCell ref="K80:X80"/>
    <mergeCell ref="H75:J89"/>
    <mergeCell ref="AD52:AE52"/>
    <mergeCell ref="AF52:AH52"/>
    <mergeCell ref="K54:W54"/>
    <mergeCell ref="Y54:AA54"/>
    <mergeCell ref="AB54:AC54"/>
    <mergeCell ref="AD54:AE54"/>
    <mergeCell ref="AF54:AH54"/>
    <mergeCell ref="K52:W52"/>
    <mergeCell ref="AD88:AE88"/>
    <mergeCell ref="K64:X64"/>
    <mergeCell ref="Y64:AA64"/>
    <mergeCell ref="AB64:AC64"/>
    <mergeCell ref="K59:X59"/>
    <mergeCell ref="Y62:AA62"/>
    <mergeCell ref="AB59:AC59"/>
    <mergeCell ref="Y80:AA80"/>
    <mergeCell ref="AB80:AC80"/>
    <mergeCell ref="AI88:AM88"/>
    <mergeCell ref="AI85:AM85"/>
    <mergeCell ref="AD67:AE67"/>
    <mergeCell ref="AF67:AH67"/>
    <mergeCell ref="AI67:AM67"/>
    <mergeCell ref="AD68:AE68"/>
    <mergeCell ref="AF68:AH68"/>
    <mergeCell ref="AI68:AM68"/>
    <mergeCell ref="AD65:AE65"/>
    <mergeCell ref="AF65:AH65"/>
    <mergeCell ref="AI87:AM87"/>
    <mergeCell ref="AF83:AH83"/>
    <mergeCell ref="AI83:AM83"/>
    <mergeCell ref="AI80:AM80"/>
    <mergeCell ref="AD80:AE80"/>
    <mergeCell ref="AF80:AH80"/>
    <mergeCell ref="AF81:AH81"/>
    <mergeCell ref="AF69:AH69"/>
    <mergeCell ref="AI69:AM69"/>
    <mergeCell ref="A32:G36"/>
    <mergeCell ref="A29:G31"/>
    <mergeCell ref="A20:G28"/>
    <mergeCell ref="H20:J28"/>
    <mergeCell ref="H29:J31"/>
    <mergeCell ref="H32:J36"/>
    <mergeCell ref="A43:G55"/>
    <mergeCell ref="H43:J55"/>
    <mergeCell ref="A42:G42"/>
  </mergeCells>
  <pageMargins left="0.15748031496062992" right="0.27559055118110237" top="0.15748031496062992" bottom="0.15748031496062992" header="0.15748031496062992" footer="0.15748031496062992"/>
  <pageSetup paperSize="9" scale="79" fitToWidth="2" fitToHeight="3" orientation="landscape" horizontalDpi="300" verticalDpi="300" r:id="rId1"/>
  <headerFooter alignWithMargins="0"/>
  <colBreaks count="1" manualBreakCount="1">
    <brk id="43" max="15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05"/>
  <sheetViews>
    <sheetView tabSelected="1" workbookViewId="0">
      <selection activeCell="A100" sqref="A100"/>
    </sheetView>
  </sheetViews>
  <sheetFormatPr defaultRowHeight="15"/>
  <cols>
    <col min="4" max="4" width="3.5703125" customWidth="1"/>
    <col min="5" max="5" width="8.7109375" hidden="1" customWidth="1"/>
    <col min="6" max="6" width="9.140625" hidden="1" customWidth="1"/>
    <col min="7" max="7" width="0.140625" hidden="1" customWidth="1"/>
    <col min="9" max="9" width="1.5703125" customWidth="1"/>
    <col min="10" max="10" width="9.140625" hidden="1" customWidth="1"/>
    <col min="14" max="14" width="5.7109375" customWidth="1"/>
    <col min="15" max="15" width="3" hidden="1" customWidth="1"/>
    <col min="16" max="16" width="9.140625" hidden="1" customWidth="1"/>
    <col min="17" max="17" width="7.42578125" hidden="1" customWidth="1"/>
    <col min="18" max="18" width="2.42578125" hidden="1" customWidth="1"/>
    <col min="19" max="19" width="8.42578125" hidden="1" customWidth="1"/>
    <col min="20" max="24" width="9.140625" hidden="1" customWidth="1"/>
    <col min="26" max="26" width="2.7109375" customWidth="1"/>
    <col min="27" max="27" width="9.140625" hidden="1" customWidth="1"/>
    <col min="29" max="29" width="3.7109375" hidden="1" customWidth="1"/>
    <col min="30" max="31" width="9.140625" customWidth="1"/>
    <col min="32" max="32" width="7.140625" customWidth="1"/>
    <col min="33" max="34" width="9.140625" hidden="1" customWidth="1"/>
    <col min="39" max="39" width="3.7109375" customWidth="1"/>
  </cols>
  <sheetData>
    <row r="1" spans="1:44">
      <c r="A1" s="425"/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  <c r="R1" s="425"/>
      <c r="S1" s="425"/>
      <c r="T1" s="425"/>
      <c r="U1" s="425"/>
      <c r="V1" s="425"/>
      <c r="W1" s="425"/>
      <c r="X1" s="425"/>
      <c r="Y1" s="425"/>
      <c r="Z1" s="425"/>
      <c r="AA1" s="425"/>
      <c r="AB1" s="425"/>
      <c r="AC1" s="425"/>
      <c r="AD1" s="425"/>
      <c r="AE1" s="184"/>
      <c r="AF1" s="971"/>
      <c r="AG1" s="972"/>
      <c r="AH1" s="972"/>
      <c r="AI1" s="972"/>
      <c r="AJ1" s="973"/>
      <c r="AK1" s="425"/>
      <c r="AL1" s="425"/>
      <c r="AM1" s="425"/>
      <c r="AN1" s="425"/>
      <c r="AO1" s="425"/>
      <c r="AP1" s="425"/>
      <c r="AQ1" s="425"/>
      <c r="AR1" s="171"/>
    </row>
    <row r="2" spans="1:44">
      <c r="A2" s="425"/>
      <c r="B2" s="425"/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  <c r="N2" s="425"/>
      <c r="O2" s="425"/>
      <c r="P2" s="425"/>
      <c r="Q2" s="425"/>
      <c r="R2" s="425"/>
      <c r="S2" s="425"/>
      <c r="T2" s="425"/>
      <c r="U2" s="425"/>
      <c r="V2" s="425"/>
      <c r="W2" s="425"/>
      <c r="X2" s="425"/>
      <c r="Y2" s="425"/>
      <c r="Z2" s="425"/>
      <c r="AA2" s="425"/>
      <c r="AB2" s="425"/>
      <c r="AC2" s="425"/>
      <c r="AD2" s="425"/>
      <c r="AE2" s="184"/>
      <c r="AF2" s="971"/>
      <c r="AG2" s="972"/>
      <c r="AH2" s="972"/>
      <c r="AI2" s="972"/>
      <c r="AJ2" s="973"/>
      <c r="AK2" s="425"/>
      <c r="AL2" s="425"/>
      <c r="AM2" s="425"/>
      <c r="AN2" s="425"/>
      <c r="AO2" s="425"/>
      <c r="AP2" s="425"/>
      <c r="AQ2" s="425"/>
      <c r="AR2" s="171"/>
    </row>
    <row r="3" spans="1:44">
      <c r="A3" s="425"/>
      <c r="B3" s="425"/>
      <c r="C3" s="425"/>
      <c r="D3" s="425"/>
      <c r="E3" s="425"/>
      <c r="F3" s="425"/>
      <c r="G3" s="425"/>
      <c r="H3" s="425"/>
      <c r="I3" s="425"/>
      <c r="J3" s="425"/>
      <c r="K3" s="425"/>
      <c r="L3" s="425"/>
      <c r="M3" s="425"/>
      <c r="N3" s="425"/>
      <c r="O3" s="425"/>
      <c r="P3" s="425"/>
      <c r="Q3" s="425"/>
      <c r="R3" s="425"/>
      <c r="S3" s="425"/>
      <c r="T3" s="425"/>
      <c r="U3" s="425"/>
      <c r="V3" s="425"/>
      <c r="W3" s="425"/>
      <c r="X3" s="425"/>
      <c r="Y3" s="425"/>
      <c r="Z3" s="425"/>
      <c r="AA3" s="425"/>
      <c r="AB3" s="425"/>
      <c r="AC3" s="425"/>
      <c r="AD3" s="425"/>
      <c r="AE3" s="184"/>
      <c r="AF3" s="971"/>
      <c r="AG3" s="972"/>
      <c r="AH3" s="972"/>
      <c r="AI3" s="972"/>
      <c r="AJ3" s="973"/>
      <c r="AK3" s="425"/>
      <c r="AL3" s="425"/>
      <c r="AM3" s="425"/>
      <c r="AN3" s="425"/>
      <c r="AO3" s="425"/>
      <c r="AP3" s="425"/>
      <c r="AQ3" s="425"/>
      <c r="AR3" s="171"/>
    </row>
    <row r="4" spans="1:44" ht="18">
      <c r="A4" s="568" t="s">
        <v>85</v>
      </c>
      <c r="B4" s="568"/>
      <c r="C4" s="568"/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568"/>
      <c r="P4" s="568"/>
      <c r="Q4" s="568"/>
      <c r="R4" s="568"/>
      <c r="S4" s="568"/>
      <c r="T4" s="568"/>
      <c r="U4" s="568"/>
      <c r="V4" s="568"/>
      <c r="W4" s="568"/>
      <c r="X4" s="568"/>
      <c r="Y4" s="568"/>
      <c r="Z4" s="568"/>
      <c r="AA4" s="568"/>
      <c r="AB4" s="568"/>
      <c r="AC4" s="568"/>
      <c r="AD4" s="181"/>
      <c r="AE4" s="974"/>
      <c r="AF4" s="971"/>
      <c r="AG4" s="972"/>
      <c r="AH4" s="972"/>
      <c r="AI4" s="972"/>
      <c r="AJ4" s="973"/>
      <c r="AK4" s="183"/>
      <c r="AL4" s="183"/>
      <c r="AM4" s="184"/>
      <c r="AN4" s="425"/>
      <c r="AO4" s="425"/>
      <c r="AP4" s="425"/>
      <c r="AQ4" s="425"/>
      <c r="AR4" s="171"/>
    </row>
    <row r="5" spans="1:44">
      <c r="A5" s="975" t="s">
        <v>228</v>
      </c>
      <c r="B5" s="975"/>
      <c r="C5" s="975"/>
      <c r="D5" s="975"/>
      <c r="E5" s="975"/>
      <c r="F5" s="975"/>
      <c r="G5" s="975"/>
      <c r="H5" s="975"/>
      <c r="I5" s="975"/>
      <c r="J5" s="975"/>
      <c r="K5" s="975"/>
      <c r="L5" s="975"/>
      <c r="M5" s="975"/>
      <c r="N5" s="975"/>
      <c r="O5" s="975"/>
      <c r="P5" s="975"/>
      <c r="Q5" s="975"/>
      <c r="R5" s="975"/>
      <c r="S5" s="975"/>
      <c r="T5" s="975"/>
      <c r="U5" s="975"/>
      <c r="V5" s="975"/>
      <c r="W5" s="975"/>
      <c r="X5" s="975"/>
      <c r="Y5" s="975"/>
      <c r="Z5" s="975"/>
      <c r="AA5" s="975"/>
      <c r="AB5" s="975"/>
      <c r="AC5" s="975"/>
      <c r="AD5" s="975"/>
      <c r="AE5" s="975"/>
      <c r="AF5" s="975"/>
      <c r="AG5" s="975"/>
      <c r="AH5" s="975"/>
      <c r="AI5" s="975"/>
      <c r="AJ5" s="975"/>
      <c r="AK5" s="975"/>
      <c r="AL5" s="975"/>
      <c r="AM5" s="975"/>
      <c r="AN5" s="551"/>
      <c r="AO5" s="551"/>
      <c r="AP5" s="551"/>
      <c r="AQ5" s="551"/>
      <c r="AR5" s="551"/>
    </row>
    <row r="6" spans="1:44">
      <c r="A6" s="976" t="s">
        <v>227</v>
      </c>
      <c r="B6" s="977"/>
      <c r="C6" s="977"/>
      <c r="D6" s="977"/>
      <c r="E6" s="977"/>
      <c r="F6" s="977"/>
      <c r="G6" s="977"/>
      <c r="H6" s="977"/>
      <c r="I6" s="977"/>
      <c r="J6" s="977"/>
      <c r="K6" s="977"/>
      <c r="L6" s="977"/>
      <c r="M6" s="977"/>
      <c r="N6" s="977"/>
      <c r="O6" s="978"/>
      <c r="P6" s="552" t="s">
        <v>88</v>
      </c>
      <c r="Q6" s="552"/>
      <c r="R6" s="552"/>
      <c r="S6" s="552"/>
      <c r="T6" s="552"/>
      <c r="U6" s="965"/>
      <c r="V6" s="965"/>
      <c r="W6" s="965"/>
      <c r="X6" s="965"/>
      <c r="Y6" s="965"/>
      <c r="Z6" s="965"/>
      <c r="AA6" s="965"/>
      <c r="AB6" s="966"/>
      <c r="AC6" s="964"/>
      <c r="AD6" s="964"/>
      <c r="AE6" s="964"/>
      <c r="AF6" s="964"/>
      <c r="AG6" s="964"/>
      <c r="AH6" s="964"/>
      <c r="AI6" s="964"/>
      <c r="AJ6" s="964"/>
      <c r="AK6" s="964"/>
      <c r="AL6" s="964"/>
      <c r="AM6" s="964"/>
      <c r="AN6" s="964"/>
      <c r="AO6" s="964"/>
      <c r="AP6" s="964"/>
      <c r="AQ6" s="964"/>
      <c r="AR6" s="964"/>
    </row>
    <row r="7" spans="1:44">
      <c r="A7" s="970"/>
      <c r="B7" s="970"/>
      <c r="C7" s="970"/>
      <c r="D7" s="970"/>
      <c r="E7" s="970"/>
      <c r="F7" s="970"/>
      <c r="G7" s="970"/>
      <c r="H7" s="970"/>
      <c r="I7" s="970"/>
      <c r="J7" s="970"/>
      <c r="K7" s="970"/>
      <c r="L7" s="970"/>
      <c r="M7" s="970"/>
      <c r="N7" s="970"/>
      <c r="O7" s="970"/>
      <c r="P7" s="969"/>
      <c r="Q7" s="552"/>
      <c r="R7" s="967"/>
      <c r="S7" s="967"/>
      <c r="T7" s="967"/>
      <c r="U7" s="965" t="s">
        <v>225</v>
      </c>
      <c r="V7" s="965"/>
      <c r="W7" s="965"/>
      <c r="X7" s="965"/>
      <c r="Y7" s="965"/>
      <c r="Z7" s="965"/>
      <c r="AA7" s="965"/>
      <c r="AB7" s="966"/>
      <c r="AC7" s="968" t="s">
        <v>224</v>
      </c>
      <c r="AD7" s="575"/>
      <c r="AE7" s="575"/>
      <c r="AF7" s="575"/>
      <c r="AG7" s="575"/>
      <c r="AH7" s="575"/>
      <c r="AI7" s="575"/>
      <c r="AJ7" s="575"/>
      <c r="AK7" s="575"/>
      <c r="AL7" s="575"/>
      <c r="AM7" s="575"/>
      <c r="AN7" s="575"/>
      <c r="AO7" s="575"/>
      <c r="AP7" s="575"/>
      <c r="AQ7" s="575"/>
      <c r="AR7" s="575"/>
    </row>
    <row r="8" spans="1:44">
      <c r="A8" s="425"/>
      <c r="B8" s="424"/>
      <c r="C8" s="424"/>
      <c r="D8" s="424"/>
      <c r="E8" s="576" t="s">
        <v>92</v>
      </c>
      <c r="F8" s="576"/>
      <c r="G8" s="576"/>
      <c r="H8" s="186"/>
      <c r="I8" s="423"/>
      <c r="J8" s="577"/>
      <c r="K8" s="577"/>
      <c r="L8" s="577"/>
      <c r="M8" s="577"/>
      <c r="N8" s="423"/>
      <c r="O8" s="423"/>
      <c r="P8" s="578" t="s">
        <v>93</v>
      </c>
      <c r="Q8" s="578"/>
      <c r="R8" s="577"/>
      <c r="S8" s="577"/>
      <c r="T8" s="577"/>
      <c r="U8" s="577"/>
      <c r="V8" s="577"/>
      <c r="W8" s="577"/>
      <c r="X8" s="577"/>
      <c r="Y8" s="577"/>
      <c r="Z8" s="577"/>
      <c r="AA8" s="577"/>
      <c r="AB8" s="577"/>
      <c r="AC8" s="577"/>
      <c r="AD8" s="577"/>
      <c r="AE8" s="577"/>
      <c r="AF8" s="577"/>
      <c r="AG8" s="577"/>
      <c r="AH8" s="577"/>
      <c r="AI8" s="577"/>
      <c r="AJ8" s="577"/>
      <c r="AK8" s="577"/>
      <c r="AL8" s="577"/>
      <c r="AM8" s="577"/>
      <c r="AN8" s="577"/>
      <c r="AO8" s="577"/>
      <c r="AP8" s="577"/>
      <c r="AQ8" s="577"/>
      <c r="AR8" s="577"/>
    </row>
    <row r="9" spans="1:44">
      <c r="A9" s="569" t="s">
        <v>223</v>
      </c>
      <c r="B9" s="569"/>
      <c r="C9" s="569"/>
      <c r="D9" s="569"/>
      <c r="E9" s="569"/>
      <c r="F9" s="569"/>
      <c r="G9" s="569"/>
      <c r="H9" s="569"/>
      <c r="I9" s="569"/>
      <c r="J9" s="569"/>
      <c r="K9" s="569"/>
      <c r="L9" s="569"/>
      <c r="M9" s="569"/>
      <c r="N9" s="569"/>
      <c r="O9" s="569"/>
      <c r="P9" s="569"/>
      <c r="Q9" s="569"/>
      <c r="R9" s="569"/>
      <c r="S9" s="569"/>
      <c r="T9" s="569"/>
      <c r="U9" s="569"/>
      <c r="V9" s="569"/>
      <c r="W9" s="569"/>
      <c r="X9" s="569"/>
      <c r="Y9" s="569"/>
      <c r="Z9" s="569"/>
      <c r="AA9" s="569"/>
      <c r="AB9" s="569"/>
      <c r="AC9" s="569"/>
      <c r="AD9" s="569"/>
      <c r="AE9" s="569"/>
      <c r="AF9" s="570"/>
      <c r="AG9" s="570"/>
      <c r="AH9" s="570"/>
      <c r="AI9" s="570"/>
      <c r="AJ9" s="570"/>
      <c r="AK9" s="570"/>
      <c r="AL9" s="570"/>
      <c r="AM9" s="570"/>
      <c r="AN9" s="570"/>
      <c r="AO9" s="571"/>
      <c r="AP9" s="571"/>
      <c r="AQ9" s="421"/>
      <c r="AR9" s="188"/>
    </row>
    <row r="10" spans="1:44">
      <c r="A10" s="554"/>
      <c r="B10" s="554"/>
      <c r="C10" s="554"/>
      <c r="D10" s="554"/>
      <c r="E10" s="554"/>
      <c r="F10" s="554"/>
      <c r="G10" s="554"/>
      <c r="H10" s="554"/>
      <c r="I10" s="554"/>
      <c r="J10" s="554"/>
      <c r="K10" s="554"/>
      <c r="L10" s="554"/>
      <c r="M10" s="554"/>
      <c r="N10" s="554"/>
      <c r="O10" s="554"/>
      <c r="P10" s="554"/>
      <c r="Q10" s="554"/>
      <c r="R10" s="554"/>
      <c r="S10" s="554"/>
      <c r="T10" s="554"/>
      <c r="U10" s="554"/>
      <c r="V10" s="554"/>
      <c r="W10" s="554"/>
      <c r="X10" s="554"/>
      <c r="Y10" s="554"/>
      <c r="Z10" s="554"/>
      <c r="AA10" s="554"/>
      <c r="AB10" s="554"/>
      <c r="AC10" s="554"/>
      <c r="AD10" s="554"/>
      <c r="AE10" s="554"/>
      <c r="AF10" s="554"/>
      <c r="AG10" s="554"/>
      <c r="AH10" s="554"/>
      <c r="AI10" s="554"/>
      <c r="AJ10" s="554"/>
      <c r="AK10" s="554"/>
      <c r="AL10" s="554"/>
      <c r="AM10" s="554"/>
      <c r="AN10" s="554"/>
      <c r="AO10" s="554"/>
      <c r="AP10" s="554"/>
      <c r="AQ10" s="554"/>
      <c r="AR10" s="554"/>
    </row>
    <row r="11" spans="1:44">
      <c r="A11" s="555"/>
      <c r="B11" s="555"/>
      <c r="C11" s="555"/>
      <c r="D11" s="555"/>
      <c r="E11" s="555"/>
      <c r="F11" s="555"/>
      <c r="G11" s="555"/>
      <c r="H11" s="555"/>
      <c r="I11" s="555"/>
      <c r="J11" s="555"/>
      <c r="K11" s="555"/>
      <c r="L11" s="555"/>
      <c r="M11" s="555"/>
      <c r="N11" s="555"/>
      <c r="O11" s="555"/>
      <c r="P11" s="555"/>
      <c r="Q11" s="555"/>
      <c r="R11" s="555"/>
      <c r="S11" s="555"/>
      <c r="T11" s="555"/>
      <c r="U11" s="555"/>
      <c r="V11" s="555"/>
      <c r="W11" s="555"/>
      <c r="X11" s="555"/>
      <c r="Y11" s="555"/>
      <c r="Z11" s="555"/>
      <c r="AA11" s="555"/>
      <c r="AB11" s="555"/>
      <c r="AC11" s="426" t="s">
        <v>96</v>
      </c>
      <c r="AD11" s="426" t="s">
        <v>226</v>
      </c>
      <c r="AE11" s="426"/>
      <c r="AF11" s="556"/>
      <c r="AG11" s="556"/>
      <c r="AH11" s="426" t="s">
        <v>97</v>
      </c>
      <c r="AI11" s="426"/>
      <c r="AJ11" s="190"/>
      <c r="AK11" s="190"/>
      <c r="AL11" s="190"/>
      <c r="AM11" s="190"/>
      <c r="AN11" s="190"/>
      <c r="AO11" s="190"/>
      <c r="AP11" s="190"/>
      <c r="AQ11" s="190"/>
      <c r="AR11" s="191"/>
    </row>
    <row r="12" spans="1:44">
      <c r="A12" s="426"/>
      <c r="B12" s="426"/>
      <c r="C12" s="426"/>
      <c r="D12" s="426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  <c r="R12" s="426"/>
      <c r="S12" s="426"/>
      <c r="T12" s="426"/>
      <c r="U12" s="426"/>
      <c r="V12" s="426"/>
      <c r="W12" s="426"/>
      <c r="X12" s="426"/>
      <c r="Y12" s="192"/>
      <c r="Z12" s="192"/>
      <c r="AA12" s="192"/>
      <c r="AB12" s="426"/>
      <c r="AC12" s="426" t="s">
        <v>98</v>
      </c>
      <c r="AD12" s="426"/>
      <c r="AE12" s="426"/>
      <c r="AF12" s="426"/>
      <c r="AG12" s="426"/>
      <c r="AH12" s="426"/>
      <c r="AI12" s="580"/>
      <c r="AJ12" s="580"/>
      <c r="AK12" s="580"/>
      <c r="AL12" s="421"/>
      <c r="AM12" s="421"/>
      <c r="AN12" s="421"/>
      <c r="AO12" s="420"/>
      <c r="AP12" s="195"/>
      <c r="AQ12" s="195"/>
      <c r="AR12" s="196"/>
    </row>
    <row r="13" spans="1:44" ht="15.75" thickBot="1">
      <c r="A13" s="581"/>
      <c r="B13" s="581"/>
      <c r="C13" s="581"/>
      <c r="D13" s="581"/>
      <c r="E13" s="581"/>
      <c r="F13" s="581"/>
      <c r="G13" s="581"/>
      <c r="H13" s="581"/>
      <c r="I13" s="581"/>
      <c r="J13" s="581"/>
      <c r="K13" s="581"/>
      <c r="L13" s="581"/>
      <c r="M13" s="581"/>
      <c r="N13" s="581"/>
      <c r="O13" s="581"/>
      <c r="P13" s="581"/>
      <c r="Q13" s="581"/>
      <c r="R13" s="581"/>
      <c r="S13" s="581"/>
      <c r="T13" s="581"/>
      <c r="U13" s="581"/>
      <c r="V13" s="581"/>
      <c r="W13" s="581"/>
      <c r="X13" s="581"/>
      <c r="Y13" s="581"/>
      <c r="Z13" s="581"/>
      <c r="AA13" s="581"/>
      <c r="AB13" s="581"/>
      <c r="AC13" s="581"/>
      <c r="AD13" s="581"/>
      <c r="AE13" s="581"/>
      <c r="AF13" s="581"/>
      <c r="AG13" s="581"/>
      <c r="AH13" s="581"/>
      <c r="AI13" s="581"/>
      <c r="AJ13" s="581"/>
      <c r="AK13" s="581"/>
      <c r="AL13" s="581"/>
      <c r="AM13" s="581"/>
      <c r="AN13" s="581"/>
      <c r="AO13" s="581"/>
      <c r="AP13" s="581"/>
      <c r="AQ13" s="581"/>
      <c r="AR13" s="581"/>
    </row>
    <row r="14" spans="1:44" ht="15" customHeight="1">
      <c r="A14" s="582" t="s">
        <v>100</v>
      </c>
      <c r="B14" s="583"/>
      <c r="C14" s="583"/>
      <c r="D14" s="583"/>
      <c r="E14" s="583"/>
      <c r="F14" s="583"/>
      <c r="G14" s="583"/>
      <c r="H14" s="583"/>
      <c r="I14" s="583"/>
      <c r="J14" s="583"/>
      <c r="K14" s="583" t="s">
        <v>229</v>
      </c>
      <c r="L14" s="583"/>
      <c r="M14" s="583"/>
      <c r="N14" s="583"/>
      <c r="O14" s="583"/>
      <c r="P14" s="583"/>
      <c r="Q14" s="583"/>
      <c r="R14" s="583"/>
      <c r="S14" s="583"/>
      <c r="T14" s="583"/>
      <c r="U14" s="583"/>
      <c r="V14" s="583"/>
      <c r="W14" s="583"/>
      <c r="X14" s="583"/>
      <c r="Y14" s="583" t="s">
        <v>102</v>
      </c>
      <c r="Z14" s="583"/>
      <c r="AA14" s="583"/>
      <c r="AB14" s="584" t="s">
        <v>222</v>
      </c>
      <c r="AC14" s="585"/>
      <c r="AD14" s="583" t="s">
        <v>106</v>
      </c>
      <c r="AE14" s="583"/>
      <c r="AF14" s="583"/>
      <c r="AG14" s="583"/>
      <c r="AH14" s="592"/>
      <c r="AI14" s="982"/>
    </row>
    <row r="15" spans="1:44" ht="55.5" customHeight="1" thickBot="1">
      <c r="A15" s="594" t="s">
        <v>108</v>
      </c>
      <c r="B15" s="557"/>
      <c r="C15" s="557"/>
      <c r="D15" s="557"/>
      <c r="E15" s="557"/>
      <c r="F15" s="557"/>
      <c r="G15" s="557"/>
      <c r="H15" s="557" t="s">
        <v>109</v>
      </c>
      <c r="I15" s="557"/>
      <c r="J15" s="557"/>
      <c r="K15" s="557"/>
      <c r="L15" s="557"/>
      <c r="M15" s="557"/>
      <c r="N15" s="557"/>
      <c r="O15" s="557"/>
      <c r="P15" s="557"/>
      <c r="Q15" s="557"/>
      <c r="R15" s="557"/>
      <c r="S15" s="557"/>
      <c r="T15" s="557"/>
      <c r="U15" s="557"/>
      <c r="V15" s="557"/>
      <c r="W15" s="557"/>
      <c r="X15" s="557"/>
      <c r="Y15" s="557"/>
      <c r="Z15" s="557"/>
      <c r="AA15" s="557"/>
      <c r="AB15" s="962"/>
      <c r="AC15" s="963"/>
      <c r="AD15" s="557"/>
      <c r="AE15" s="557"/>
      <c r="AF15" s="557"/>
      <c r="AG15" s="557"/>
      <c r="AH15" s="593"/>
      <c r="AI15" s="982"/>
    </row>
    <row r="16" spans="1:44" ht="15.75" thickBot="1">
      <c r="A16" s="560" t="s">
        <v>111</v>
      </c>
      <c r="B16" s="561"/>
      <c r="C16" s="561"/>
      <c r="D16" s="561"/>
      <c r="E16" s="561"/>
      <c r="F16" s="561"/>
      <c r="G16" s="561"/>
      <c r="H16" s="561" t="s">
        <v>112</v>
      </c>
      <c r="I16" s="561"/>
      <c r="J16" s="561"/>
      <c r="K16" s="561" t="s">
        <v>113</v>
      </c>
      <c r="L16" s="561"/>
      <c r="M16" s="561"/>
      <c r="N16" s="561"/>
      <c r="O16" s="561"/>
      <c r="P16" s="561"/>
      <c r="Q16" s="561"/>
      <c r="R16" s="561"/>
      <c r="S16" s="561"/>
      <c r="T16" s="561"/>
      <c r="U16" s="561"/>
      <c r="V16" s="561"/>
      <c r="W16" s="561"/>
      <c r="X16" s="561"/>
      <c r="Y16" s="561" t="s">
        <v>114</v>
      </c>
      <c r="Z16" s="561"/>
      <c r="AA16" s="561"/>
      <c r="AB16" s="562" t="s">
        <v>116</v>
      </c>
      <c r="AC16" s="564"/>
      <c r="AD16" s="561" t="s">
        <v>118</v>
      </c>
      <c r="AE16" s="561"/>
      <c r="AF16" s="561"/>
      <c r="AG16" s="561"/>
      <c r="AH16" s="605"/>
      <c r="AI16" s="982"/>
    </row>
    <row r="17" spans="1:35">
      <c r="A17" s="468" t="s">
        <v>119</v>
      </c>
      <c r="B17" s="469"/>
      <c r="C17" s="469"/>
      <c r="D17" s="469"/>
      <c r="E17" s="469"/>
      <c r="F17" s="469"/>
      <c r="G17" s="470"/>
      <c r="H17" s="477" t="s">
        <v>120</v>
      </c>
      <c r="I17" s="478"/>
      <c r="J17" s="479"/>
      <c r="K17" s="606" t="s">
        <v>121</v>
      </c>
      <c r="L17" s="606"/>
      <c r="M17" s="606"/>
      <c r="N17" s="606"/>
      <c r="O17" s="606"/>
      <c r="P17" s="606"/>
      <c r="Q17" s="606"/>
      <c r="R17" s="606"/>
      <c r="S17" s="606"/>
      <c r="T17" s="606"/>
      <c r="U17" s="606"/>
      <c r="V17" s="606"/>
      <c r="W17" s="606"/>
      <c r="X17" s="606"/>
      <c r="Y17" s="607">
        <v>1</v>
      </c>
      <c r="Z17" s="607"/>
      <c r="AA17" s="607"/>
      <c r="AB17" s="608">
        <v>1</v>
      </c>
      <c r="AC17" s="609"/>
      <c r="AD17" s="611"/>
      <c r="AE17" s="612"/>
      <c r="AF17" s="612"/>
      <c r="AG17" s="612"/>
      <c r="AH17" s="613"/>
      <c r="AI17" s="982"/>
    </row>
    <row r="18" spans="1:35" ht="30" customHeight="1">
      <c r="A18" s="471"/>
      <c r="B18" s="472"/>
      <c r="C18" s="472"/>
      <c r="D18" s="472"/>
      <c r="E18" s="472"/>
      <c r="F18" s="472"/>
      <c r="G18" s="473"/>
      <c r="H18" s="480"/>
      <c r="I18" s="481"/>
      <c r="J18" s="482"/>
      <c r="K18" s="984" t="s">
        <v>122</v>
      </c>
      <c r="L18" s="985"/>
      <c r="M18" s="985"/>
      <c r="N18" s="985"/>
      <c r="O18" s="985"/>
      <c r="P18" s="985"/>
      <c r="Q18" s="985"/>
      <c r="R18" s="985"/>
      <c r="S18" s="985"/>
      <c r="T18" s="985"/>
      <c r="U18" s="985"/>
      <c r="V18" s="985"/>
      <c r="W18" s="985"/>
      <c r="X18" s="986"/>
      <c r="Y18" s="596">
        <v>1</v>
      </c>
      <c r="Z18" s="596"/>
      <c r="AA18" s="596"/>
      <c r="AB18" s="599">
        <v>1</v>
      </c>
      <c r="AC18" s="600"/>
      <c r="AD18" s="602"/>
      <c r="AE18" s="603"/>
      <c r="AF18" s="603"/>
      <c r="AG18" s="603"/>
      <c r="AH18" s="604"/>
      <c r="AI18" s="982"/>
    </row>
    <row r="19" spans="1:35">
      <c r="A19" s="471"/>
      <c r="B19" s="472"/>
      <c r="C19" s="472"/>
      <c r="D19" s="472"/>
      <c r="E19" s="472"/>
      <c r="F19" s="472"/>
      <c r="G19" s="473"/>
      <c r="H19" s="480"/>
      <c r="I19" s="481"/>
      <c r="J19" s="482"/>
      <c r="K19" s="861" t="s">
        <v>123</v>
      </c>
      <c r="L19" s="861"/>
      <c r="M19" s="861"/>
      <c r="N19" s="861"/>
      <c r="O19" s="861"/>
      <c r="P19" s="861"/>
      <c r="Q19" s="861"/>
      <c r="R19" s="861"/>
      <c r="S19" s="861"/>
      <c r="T19" s="861"/>
      <c r="U19" s="861"/>
      <c r="V19" s="861"/>
      <c r="W19" s="861"/>
      <c r="X19" s="861"/>
      <c r="Y19" s="596">
        <v>1</v>
      </c>
      <c r="Z19" s="596"/>
      <c r="AA19" s="596"/>
      <c r="AB19" s="599">
        <v>1</v>
      </c>
      <c r="AC19" s="600"/>
      <c r="AD19" s="618"/>
      <c r="AE19" s="619"/>
      <c r="AF19" s="619"/>
      <c r="AG19" s="619"/>
      <c r="AH19" s="620"/>
      <c r="AI19" s="982"/>
    </row>
    <row r="20" spans="1:35">
      <c r="A20" s="471"/>
      <c r="B20" s="472"/>
      <c r="C20" s="472"/>
      <c r="D20" s="472"/>
      <c r="E20" s="472"/>
      <c r="F20" s="472"/>
      <c r="G20" s="473"/>
      <c r="H20" s="480"/>
      <c r="I20" s="481"/>
      <c r="J20" s="481"/>
      <c r="K20" s="851" t="s">
        <v>124</v>
      </c>
      <c r="L20" s="863"/>
      <c r="M20" s="863"/>
      <c r="N20" s="863"/>
      <c r="O20" s="863"/>
      <c r="P20" s="863"/>
      <c r="Q20" s="863"/>
      <c r="R20" s="863"/>
      <c r="S20" s="863"/>
      <c r="T20" s="863"/>
      <c r="U20" s="863"/>
      <c r="V20" s="863"/>
      <c r="W20" s="863"/>
      <c r="X20" s="864"/>
      <c r="Y20" s="615">
        <v>1</v>
      </c>
      <c r="Z20" s="616"/>
      <c r="AA20" s="617"/>
      <c r="AB20" s="599"/>
      <c r="AC20" s="600"/>
      <c r="AD20" s="611"/>
      <c r="AE20" s="612"/>
      <c r="AF20" s="612"/>
      <c r="AG20" s="612"/>
      <c r="AH20" s="613"/>
      <c r="AI20" s="982"/>
    </row>
    <row r="21" spans="1:35">
      <c r="A21" s="471"/>
      <c r="B21" s="472"/>
      <c r="C21" s="472"/>
      <c r="D21" s="472"/>
      <c r="E21" s="472"/>
      <c r="F21" s="472"/>
      <c r="G21" s="473"/>
      <c r="H21" s="480"/>
      <c r="I21" s="481"/>
      <c r="J21" s="482"/>
      <c r="K21" s="865" t="s">
        <v>125</v>
      </c>
      <c r="L21" s="865"/>
      <c r="M21" s="865"/>
      <c r="N21" s="865"/>
      <c r="O21" s="865"/>
      <c r="P21" s="865"/>
      <c r="Q21" s="865"/>
      <c r="R21" s="865"/>
      <c r="S21" s="865"/>
      <c r="T21" s="865"/>
      <c r="U21" s="865"/>
      <c r="V21" s="865"/>
      <c r="W21" s="865"/>
      <c r="X21" s="865"/>
      <c r="Y21" s="596">
        <v>1</v>
      </c>
      <c r="Z21" s="596"/>
      <c r="AA21" s="596"/>
      <c r="AB21" s="599"/>
      <c r="AC21" s="600"/>
      <c r="AD21" s="622"/>
      <c r="AE21" s="622"/>
      <c r="AF21" s="622"/>
      <c r="AG21" s="622"/>
      <c r="AH21" s="623"/>
      <c r="AI21" s="982"/>
    </row>
    <row r="22" spans="1:35">
      <c r="A22" s="471"/>
      <c r="B22" s="472"/>
      <c r="C22" s="472"/>
      <c r="D22" s="472"/>
      <c r="E22" s="472"/>
      <c r="F22" s="472"/>
      <c r="G22" s="473"/>
      <c r="H22" s="480"/>
      <c r="I22" s="481"/>
      <c r="J22" s="481"/>
      <c r="K22" s="851" t="s">
        <v>126</v>
      </c>
      <c r="L22" s="863"/>
      <c r="M22" s="863"/>
      <c r="N22" s="863"/>
      <c r="O22" s="863"/>
      <c r="P22" s="863"/>
      <c r="Q22" s="863"/>
      <c r="R22" s="863"/>
      <c r="S22" s="863"/>
      <c r="T22" s="863"/>
      <c r="U22" s="863"/>
      <c r="V22" s="863"/>
      <c r="W22" s="863"/>
      <c r="X22" s="864"/>
      <c r="Y22" s="596">
        <v>1</v>
      </c>
      <c r="Z22" s="596"/>
      <c r="AA22" s="596"/>
      <c r="AB22" s="599"/>
      <c r="AC22" s="600"/>
      <c r="AD22" s="611"/>
      <c r="AE22" s="612"/>
      <c r="AF22" s="612"/>
      <c r="AG22" s="612"/>
      <c r="AH22" s="613"/>
      <c r="AI22" s="982"/>
    </row>
    <row r="23" spans="1:35">
      <c r="A23" s="471"/>
      <c r="B23" s="472"/>
      <c r="C23" s="472"/>
      <c r="D23" s="472"/>
      <c r="E23" s="472"/>
      <c r="F23" s="472"/>
      <c r="G23" s="473"/>
      <c r="H23" s="480"/>
      <c r="I23" s="481"/>
      <c r="J23" s="482"/>
      <c r="K23" s="862" t="s">
        <v>126</v>
      </c>
      <c r="L23" s="862"/>
      <c r="M23" s="862"/>
      <c r="N23" s="862"/>
      <c r="O23" s="862"/>
      <c r="P23" s="862"/>
      <c r="Q23" s="862"/>
      <c r="R23" s="862"/>
      <c r="S23" s="862"/>
      <c r="T23" s="862"/>
      <c r="U23" s="862"/>
      <c r="V23" s="862"/>
      <c r="W23" s="862"/>
      <c r="X23" s="862"/>
      <c r="Y23" s="596">
        <v>1</v>
      </c>
      <c r="Z23" s="596"/>
      <c r="AA23" s="596"/>
      <c r="AB23" s="599"/>
      <c r="AC23" s="600"/>
      <c r="AD23" s="624"/>
      <c r="AE23" s="625"/>
      <c r="AF23" s="625"/>
      <c r="AG23" s="625"/>
      <c r="AH23" s="626"/>
      <c r="AI23" s="982"/>
    </row>
    <row r="24" spans="1:35">
      <c r="A24" s="471"/>
      <c r="B24" s="472"/>
      <c r="C24" s="472"/>
      <c r="D24" s="472"/>
      <c r="E24" s="472"/>
      <c r="F24" s="472"/>
      <c r="G24" s="473"/>
      <c r="H24" s="480"/>
      <c r="I24" s="481"/>
      <c r="J24" s="482"/>
      <c r="K24" s="851" t="s">
        <v>127</v>
      </c>
      <c r="L24" s="852"/>
      <c r="M24" s="852"/>
      <c r="N24" s="852"/>
      <c r="O24" s="852"/>
      <c r="P24" s="852"/>
      <c r="Q24" s="852"/>
      <c r="R24" s="852"/>
      <c r="S24" s="852"/>
      <c r="T24" s="852"/>
      <c r="U24" s="852"/>
      <c r="V24" s="852"/>
      <c r="W24" s="852"/>
      <c r="X24" s="853"/>
      <c r="Y24" s="615">
        <v>1</v>
      </c>
      <c r="Z24" s="616"/>
      <c r="AA24" s="617"/>
      <c r="AB24" s="599">
        <v>1</v>
      </c>
      <c r="AC24" s="600"/>
      <c r="AD24" s="611"/>
      <c r="AE24" s="612"/>
      <c r="AF24" s="612"/>
      <c r="AG24" s="612"/>
      <c r="AH24" s="613"/>
      <c r="AI24" s="982"/>
    </row>
    <row r="25" spans="1:35" ht="15.75" thickBot="1">
      <c r="A25" s="474"/>
      <c r="B25" s="475"/>
      <c r="C25" s="475"/>
      <c r="D25" s="475"/>
      <c r="E25" s="475"/>
      <c r="F25" s="475"/>
      <c r="G25" s="476"/>
      <c r="H25" s="483"/>
      <c r="I25" s="484"/>
      <c r="J25" s="485"/>
      <c r="K25" s="854" t="s">
        <v>127</v>
      </c>
      <c r="L25" s="855"/>
      <c r="M25" s="855"/>
      <c r="N25" s="855"/>
      <c r="O25" s="855"/>
      <c r="P25" s="855"/>
      <c r="Q25" s="855"/>
      <c r="R25" s="855"/>
      <c r="S25" s="855"/>
      <c r="T25" s="855"/>
      <c r="U25" s="855"/>
      <c r="V25" s="855"/>
      <c r="W25" s="855"/>
      <c r="X25" s="856"/>
      <c r="Y25" s="630">
        <v>1</v>
      </c>
      <c r="Z25" s="631"/>
      <c r="AA25" s="632"/>
      <c r="AB25" s="635"/>
      <c r="AC25" s="636"/>
      <c r="AD25" s="638"/>
      <c r="AE25" s="639"/>
      <c r="AF25" s="639"/>
      <c r="AG25" s="639"/>
      <c r="AH25" s="640"/>
      <c r="AI25" s="982"/>
    </row>
    <row r="26" spans="1:35">
      <c r="A26" s="459" t="s">
        <v>128</v>
      </c>
      <c r="B26" s="460"/>
      <c r="C26" s="460"/>
      <c r="D26" s="460"/>
      <c r="E26" s="460"/>
      <c r="F26" s="460"/>
      <c r="G26" s="461"/>
      <c r="H26" s="477" t="s">
        <v>129</v>
      </c>
      <c r="I26" s="478"/>
      <c r="J26" s="479"/>
      <c r="K26" s="857" t="s">
        <v>130</v>
      </c>
      <c r="L26" s="858"/>
      <c r="M26" s="858"/>
      <c r="N26" s="858"/>
      <c r="O26" s="858"/>
      <c r="P26" s="858"/>
      <c r="Q26" s="858"/>
      <c r="R26" s="858"/>
      <c r="S26" s="858"/>
      <c r="T26" s="858"/>
      <c r="U26" s="858"/>
      <c r="V26" s="858"/>
      <c r="W26" s="858"/>
      <c r="X26" s="858"/>
      <c r="Y26" s="649">
        <v>1</v>
      </c>
      <c r="Z26" s="650"/>
      <c r="AA26" s="651"/>
      <c r="AB26" s="652"/>
      <c r="AC26" s="654"/>
      <c r="AD26" s="644"/>
      <c r="AE26" s="645"/>
      <c r="AF26" s="645"/>
      <c r="AG26" s="645"/>
      <c r="AH26" s="646"/>
      <c r="AI26" s="982"/>
    </row>
    <row r="27" spans="1:35">
      <c r="A27" s="462"/>
      <c r="B27" s="463"/>
      <c r="C27" s="463"/>
      <c r="D27" s="463"/>
      <c r="E27" s="463"/>
      <c r="F27" s="463"/>
      <c r="G27" s="464"/>
      <c r="H27" s="480"/>
      <c r="I27" s="481"/>
      <c r="J27" s="482"/>
      <c r="K27" s="859" t="s">
        <v>132</v>
      </c>
      <c r="L27" s="685"/>
      <c r="M27" s="685"/>
      <c r="N27" s="685"/>
      <c r="O27" s="685"/>
      <c r="P27" s="685"/>
      <c r="Q27" s="685"/>
      <c r="R27" s="685"/>
      <c r="S27" s="685"/>
      <c r="T27" s="685"/>
      <c r="U27" s="685"/>
      <c r="V27" s="685"/>
      <c r="W27" s="685"/>
      <c r="X27" s="685"/>
      <c r="Y27" s="615">
        <v>1</v>
      </c>
      <c r="Z27" s="616"/>
      <c r="AA27" s="617"/>
      <c r="AB27" s="599"/>
      <c r="AC27" s="600"/>
      <c r="AD27" s="599"/>
      <c r="AE27" s="600"/>
      <c r="AF27" s="600"/>
      <c r="AG27" s="600"/>
      <c r="AH27" s="668"/>
      <c r="AI27" s="982"/>
    </row>
    <row r="28" spans="1:35" ht="15.75" thickBot="1">
      <c r="A28" s="462"/>
      <c r="B28" s="463"/>
      <c r="C28" s="463"/>
      <c r="D28" s="463"/>
      <c r="E28" s="463"/>
      <c r="F28" s="463"/>
      <c r="G28" s="464"/>
      <c r="H28" s="480"/>
      <c r="I28" s="481"/>
      <c r="J28" s="482"/>
      <c r="K28" s="860" t="s">
        <v>133</v>
      </c>
      <c r="L28" s="709"/>
      <c r="M28" s="709"/>
      <c r="N28" s="709"/>
      <c r="O28" s="709"/>
      <c r="P28" s="709"/>
      <c r="Q28" s="709"/>
      <c r="R28" s="709"/>
      <c r="S28" s="709"/>
      <c r="T28" s="709"/>
      <c r="U28" s="709"/>
      <c r="V28" s="709"/>
      <c r="W28" s="709"/>
      <c r="X28" s="709"/>
      <c r="Y28" s="657">
        <v>1</v>
      </c>
      <c r="Z28" s="658"/>
      <c r="AA28" s="659"/>
      <c r="AB28" s="660"/>
      <c r="AC28" s="662"/>
      <c r="AD28" s="664"/>
      <c r="AE28" s="665"/>
      <c r="AF28" s="665"/>
      <c r="AG28" s="665"/>
      <c r="AH28" s="666"/>
      <c r="AI28" s="982"/>
    </row>
    <row r="29" spans="1:35" ht="30.75" customHeight="1">
      <c r="A29" s="956" t="s">
        <v>134</v>
      </c>
      <c r="B29" s="957"/>
      <c r="C29" s="957"/>
      <c r="D29" s="957"/>
      <c r="E29" s="957"/>
      <c r="F29" s="957"/>
      <c r="G29" s="958"/>
      <c r="H29" s="942" t="s">
        <v>135</v>
      </c>
      <c r="I29" s="943"/>
      <c r="J29" s="944"/>
      <c r="K29" s="669" t="s">
        <v>136</v>
      </c>
      <c r="L29" s="670"/>
      <c r="M29" s="670"/>
      <c r="N29" s="670"/>
      <c r="O29" s="670"/>
      <c r="P29" s="670"/>
      <c r="Q29" s="670"/>
      <c r="R29" s="670"/>
      <c r="S29" s="670"/>
      <c r="T29" s="670"/>
      <c r="U29" s="670"/>
      <c r="V29" s="670"/>
      <c r="W29" s="670"/>
      <c r="X29" s="671"/>
      <c r="Y29" s="672">
        <v>1</v>
      </c>
      <c r="Z29" s="672"/>
      <c r="AA29" s="672"/>
      <c r="AB29" s="597"/>
      <c r="AC29" s="673"/>
      <c r="AD29" s="674"/>
      <c r="AE29" s="674"/>
      <c r="AF29" s="674"/>
      <c r="AG29" s="674"/>
      <c r="AH29" s="675"/>
      <c r="AI29" s="982"/>
    </row>
    <row r="30" spans="1:35">
      <c r="A30" s="462"/>
      <c r="B30" s="463"/>
      <c r="C30" s="463"/>
      <c r="D30" s="463"/>
      <c r="E30" s="463"/>
      <c r="F30" s="463"/>
      <c r="G30" s="464"/>
      <c r="H30" s="480"/>
      <c r="I30" s="481"/>
      <c r="J30" s="482"/>
      <c r="K30" s="621" t="s">
        <v>131</v>
      </c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15">
        <v>1</v>
      </c>
      <c r="Z30" s="616"/>
      <c r="AA30" s="617"/>
      <c r="AB30" s="599"/>
      <c r="AC30" s="600"/>
      <c r="AD30" s="624"/>
      <c r="AE30" s="625"/>
      <c r="AF30" s="625"/>
      <c r="AG30" s="625"/>
      <c r="AH30" s="626"/>
      <c r="AI30" s="982"/>
    </row>
    <row r="31" spans="1:35">
      <c r="A31" s="462"/>
      <c r="B31" s="463"/>
      <c r="C31" s="463"/>
      <c r="D31" s="463"/>
      <c r="E31" s="463"/>
      <c r="F31" s="463"/>
      <c r="G31" s="464"/>
      <c r="H31" s="480"/>
      <c r="I31" s="481"/>
      <c r="J31" s="482"/>
      <c r="K31" s="621" t="s">
        <v>131</v>
      </c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15">
        <v>1</v>
      </c>
      <c r="Z31" s="616"/>
      <c r="AA31" s="617"/>
      <c r="AB31" s="599"/>
      <c r="AC31" s="600"/>
      <c r="AD31" s="624"/>
      <c r="AE31" s="625"/>
      <c r="AF31" s="625"/>
      <c r="AG31" s="625"/>
      <c r="AH31" s="626"/>
      <c r="AI31" s="982"/>
    </row>
    <row r="32" spans="1:35">
      <c r="A32" s="462"/>
      <c r="B32" s="463"/>
      <c r="C32" s="463"/>
      <c r="D32" s="463"/>
      <c r="E32" s="463"/>
      <c r="F32" s="463"/>
      <c r="G32" s="464"/>
      <c r="H32" s="480"/>
      <c r="I32" s="481"/>
      <c r="J32" s="482"/>
      <c r="K32" s="685" t="s">
        <v>132</v>
      </c>
      <c r="L32" s="685"/>
      <c r="M32" s="685"/>
      <c r="N32" s="685"/>
      <c r="O32" s="685"/>
      <c r="P32" s="685"/>
      <c r="Q32" s="685"/>
      <c r="R32" s="685"/>
      <c r="S32" s="685"/>
      <c r="T32" s="685"/>
      <c r="U32" s="685"/>
      <c r="V32" s="685"/>
      <c r="W32" s="685"/>
      <c r="X32" s="685"/>
      <c r="Y32" s="615">
        <v>1</v>
      </c>
      <c r="Z32" s="616"/>
      <c r="AA32" s="617"/>
      <c r="AB32" s="599"/>
      <c r="AC32" s="600"/>
      <c r="AD32" s="618"/>
      <c r="AE32" s="619"/>
      <c r="AF32" s="619"/>
      <c r="AG32" s="619"/>
      <c r="AH32" s="620"/>
      <c r="AI32" s="982"/>
    </row>
    <row r="33" spans="1:35" ht="15.75" thickBot="1">
      <c r="A33" s="959"/>
      <c r="B33" s="960"/>
      <c r="C33" s="960"/>
      <c r="D33" s="960"/>
      <c r="E33" s="960"/>
      <c r="F33" s="960"/>
      <c r="G33" s="961"/>
      <c r="H33" s="950"/>
      <c r="I33" s="951"/>
      <c r="J33" s="952"/>
      <c r="K33" s="861" t="s">
        <v>133</v>
      </c>
      <c r="L33" s="861"/>
      <c r="M33" s="861"/>
      <c r="N33" s="861"/>
      <c r="O33" s="861"/>
      <c r="P33" s="861"/>
      <c r="Q33" s="861"/>
      <c r="R33" s="861"/>
      <c r="S33" s="861"/>
      <c r="T33" s="861"/>
      <c r="U33" s="861"/>
      <c r="V33" s="861"/>
      <c r="W33" s="861"/>
      <c r="X33" s="861"/>
      <c r="Y33" s="677">
        <v>1</v>
      </c>
      <c r="Z33" s="678"/>
      <c r="AA33" s="679"/>
      <c r="AB33" s="633"/>
      <c r="AC33" s="680"/>
      <c r="AD33" s="664"/>
      <c r="AE33" s="665"/>
      <c r="AF33" s="665"/>
      <c r="AG33" s="665"/>
      <c r="AH33" s="666"/>
      <c r="AI33" s="982"/>
    </row>
    <row r="34" spans="1:35" ht="31.5" customHeight="1">
      <c r="A34" s="937" t="s">
        <v>137</v>
      </c>
      <c r="B34" s="938"/>
      <c r="C34" s="938"/>
      <c r="D34" s="938"/>
      <c r="E34" s="938"/>
      <c r="F34" s="938"/>
      <c r="G34" s="938"/>
      <c r="H34" s="953" t="s">
        <v>138</v>
      </c>
      <c r="I34" s="954"/>
      <c r="J34" s="955"/>
      <c r="K34" s="703" t="s">
        <v>139</v>
      </c>
      <c r="L34" s="704"/>
      <c r="M34" s="704"/>
      <c r="N34" s="704"/>
      <c r="O34" s="704"/>
      <c r="P34" s="704"/>
      <c r="Q34" s="704"/>
      <c r="R34" s="704"/>
      <c r="S34" s="704"/>
      <c r="T34" s="704"/>
      <c r="U34" s="704"/>
      <c r="V34" s="704"/>
      <c r="W34" s="704"/>
      <c r="X34" s="705"/>
      <c r="Y34" s="706">
        <v>1</v>
      </c>
      <c r="Z34" s="707"/>
      <c r="AA34" s="708"/>
      <c r="AB34" s="608">
        <v>1</v>
      </c>
      <c r="AC34" s="610"/>
      <c r="AD34" s="682"/>
      <c r="AE34" s="683"/>
      <c r="AF34" s="683"/>
      <c r="AG34" s="683"/>
      <c r="AH34" s="684"/>
      <c r="AI34" s="982"/>
    </row>
    <row r="35" spans="1:35">
      <c r="A35" s="939"/>
      <c r="B35" s="695"/>
      <c r="C35" s="695"/>
      <c r="D35" s="695"/>
      <c r="E35" s="695"/>
      <c r="F35" s="695"/>
      <c r="G35" s="695"/>
      <c r="H35" s="945"/>
      <c r="I35" s="701"/>
      <c r="J35" s="935"/>
      <c r="K35" s="685" t="s">
        <v>140</v>
      </c>
      <c r="L35" s="685"/>
      <c r="M35" s="685"/>
      <c r="N35" s="685"/>
      <c r="O35" s="685"/>
      <c r="P35" s="685"/>
      <c r="Q35" s="685"/>
      <c r="R35" s="685"/>
      <c r="S35" s="685"/>
      <c r="T35" s="685"/>
      <c r="U35" s="685"/>
      <c r="V35" s="685"/>
      <c r="W35" s="685"/>
      <c r="X35" s="685"/>
      <c r="Y35" s="672">
        <v>1</v>
      </c>
      <c r="Z35" s="672"/>
      <c r="AA35" s="672"/>
      <c r="AB35" s="687">
        <v>1</v>
      </c>
      <c r="AC35" s="688"/>
      <c r="AD35" s="689"/>
      <c r="AE35" s="689"/>
      <c r="AF35" s="689"/>
      <c r="AG35" s="689"/>
      <c r="AH35" s="690"/>
      <c r="AI35" s="982"/>
    </row>
    <row r="36" spans="1:35" ht="15.75" thickBot="1">
      <c r="A36" s="940"/>
      <c r="B36" s="941"/>
      <c r="C36" s="941"/>
      <c r="D36" s="941"/>
      <c r="E36" s="941"/>
      <c r="F36" s="941"/>
      <c r="G36" s="941"/>
      <c r="H36" s="947"/>
      <c r="I36" s="948"/>
      <c r="J36" s="949"/>
      <c r="K36" s="709" t="s">
        <v>140</v>
      </c>
      <c r="L36" s="709"/>
      <c r="M36" s="709"/>
      <c r="N36" s="709"/>
      <c r="O36" s="709"/>
      <c r="P36" s="709"/>
      <c r="Q36" s="709"/>
      <c r="R36" s="709"/>
      <c r="S36" s="709"/>
      <c r="T36" s="709"/>
      <c r="U36" s="709"/>
      <c r="V36" s="709"/>
      <c r="W36" s="709"/>
      <c r="X36" s="709"/>
      <c r="Y36" s="710">
        <v>1</v>
      </c>
      <c r="Z36" s="710"/>
      <c r="AA36" s="710"/>
      <c r="AB36" s="711"/>
      <c r="AC36" s="711"/>
      <c r="AD36" s="712"/>
      <c r="AE36" s="712"/>
      <c r="AF36" s="712"/>
      <c r="AG36" s="712"/>
      <c r="AH36" s="713"/>
      <c r="AI36" s="982"/>
    </row>
    <row r="37" spans="1:35">
      <c r="A37" s="694" t="s">
        <v>219</v>
      </c>
      <c r="B37" s="695"/>
      <c r="C37" s="695"/>
      <c r="D37" s="695"/>
      <c r="E37" s="695"/>
      <c r="F37" s="695"/>
      <c r="G37" s="695"/>
      <c r="H37" s="953" t="s">
        <v>220</v>
      </c>
      <c r="I37" s="954"/>
      <c r="J37" s="955"/>
      <c r="K37" s="703" t="s">
        <v>221</v>
      </c>
      <c r="L37" s="704"/>
      <c r="M37" s="704"/>
      <c r="N37" s="704"/>
      <c r="O37" s="704"/>
      <c r="P37" s="704"/>
      <c r="Q37" s="704"/>
      <c r="R37" s="704"/>
      <c r="S37" s="704"/>
      <c r="T37" s="704"/>
      <c r="U37" s="704"/>
      <c r="V37" s="704"/>
      <c r="W37" s="704"/>
      <c r="X37" s="705"/>
      <c r="Y37" s="706">
        <v>1</v>
      </c>
      <c r="Z37" s="707"/>
      <c r="AA37" s="708"/>
      <c r="AB37" s="608">
        <v>1</v>
      </c>
      <c r="AC37" s="610"/>
      <c r="AD37" s="682"/>
      <c r="AE37" s="683"/>
      <c r="AF37" s="683"/>
      <c r="AG37" s="683"/>
      <c r="AH37" s="684"/>
      <c r="AI37" s="982"/>
    </row>
    <row r="38" spans="1:35">
      <c r="A38" s="694"/>
      <c r="B38" s="695"/>
      <c r="C38" s="695"/>
      <c r="D38" s="695"/>
      <c r="E38" s="695"/>
      <c r="F38" s="695"/>
      <c r="G38" s="695"/>
      <c r="H38" s="945"/>
      <c r="I38" s="701"/>
      <c r="J38" s="935"/>
      <c r="K38" s="685" t="s">
        <v>132</v>
      </c>
      <c r="L38" s="685"/>
      <c r="M38" s="685"/>
      <c r="N38" s="685"/>
      <c r="O38" s="685"/>
      <c r="P38" s="685"/>
      <c r="Q38" s="685"/>
      <c r="R38" s="685"/>
      <c r="S38" s="685"/>
      <c r="T38" s="685"/>
      <c r="U38" s="685"/>
      <c r="V38" s="685"/>
      <c r="W38" s="685"/>
      <c r="X38" s="685"/>
      <c r="Y38" s="672">
        <v>1</v>
      </c>
      <c r="Z38" s="672"/>
      <c r="AA38" s="672"/>
      <c r="AB38" s="687">
        <v>1</v>
      </c>
      <c r="AC38" s="688"/>
      <c r="AD38" s="689"/>
      <c r="AE38" s="689"/>
      <c r="AF38" s="689"/>
      <c r="AG38" s="689"/>
      <c r="AH38" s="690"/>
      <c r="AI38" s="982"/>
    </row>
    <row r="39" spans="1:35" ht="15.75" thickBot="1">
      <c r="A39" s="697"/>
      <c r="B39" s="698"/>
      <c r="C39" s="698"/>
      <c r="D39" s="698"/>
      <c r="E39" s="698"/>
      <c r="F39" s="698"/>
      <c r="G39" s="698"/>
      <c r="H39" s="946"/>
      <c r="I39" s="702"/>
      <c r="J39" s="936"/>
      <c r="K39" s="709" t="s">
        <v>133</v>
      </c>
      <c r="L39" s="709"/>
      <c r="M39" s="709"/>
      <c r="N39" s="709"/>
      <c r="O39" s="709"/>
      <c r="P39" s="709"/>
      <c r="Q39" s="709"/>
      <c r="R39" s="709"/>
      <c r="S39" s="709"/>
      <c r="T39" s="709"/>
      <c r="U39" s="709"/>
      <c r="V39" s="709"/>
      <c r="W39" s="709"/>
      <c r="X39" s="709"/>
      <c r="Y39" s="710">
        <v>1</v>
      </c>
      <c r="Z39" s="710"/>
      <c r="AA39" s="710"/>
      <c r="AB39" s="711">
        <v>1</v>
      </c>
      <c r="AC39" s="711"/>
      <c r="AD39" s="712"/>
      <c r="AE39" s="712"/>
      <c r="AF39" s="712"/>
      <c r="AG39" s="712"/>
      <c r="AH39" s="713"/>
      <c r="AI39" s="982"/>
    </row>
    <row r="40" spans="1:35">
      <c r="A40" s="412"/>
      <c r="B40" s="413"/>
      <c r="C40" s="413"/>
      <c r="D40" s="413"/>
      <c r="E40" s="413"/>
      <c r="F40" s="413"/>
      <c r="G40" s="414"/>
      <c r="H40" s="989"/>
      <c r="I40" s="417"/>
      <c r="J40" s="417"/>
      <c r="K40" s="285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7"/>
      <c r="Y40" s="726"/>
      <c r="Z40" s="726"/>
      <c r="AA40" s="726"/>
      <c r="AB40" s="288"/>
      <c r="AC40" s="289"/>
      <c r="AD40" s="291"/>
      <c r="AE40" s="292"/>
      <c r="AF40" s="292"/>
      <c r="AG40" s="292"/>
      <c r="AH40" s="293"/>
      <c r="AI40" s="982"/>
    </row>
    <row r="41" spans="1:35" ht="15.75" thickBot="1">
      <c r="A41" s="415"/>
      <c r="B41" s="416"/>
      <c r="C41" s="416"/>
      <c r="D41" s="416"/>
      <c r="E41" s="416"/>
      <c r="F41" s="416"/>
      <c r="G41" s="416"/>
      <c r="H41" s="987"/>
      <c r="I41" s="418"/>
      <c r="J41" s="418"/>
      <c r="K41" s="300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2"/>
      <c r="Y41" s="727"/>
      <c r="Z41" s="727"/>
      <c r="AA41" s="727"/>
      <c r="AB41" s="303"/>
      <c r="AC41" s="304"/>
      <c r="AD41" s="306"/>
      <c r="AE41" s="307"/>
      <c r="AF41" s="307"/>
      <c r="AG41" s="307"/>
      <c r="AH41" s="308"/>
      <c r="AI41" s="982"/>
    </row>
    <row r="42" spans="1:35" ht="42.75" customHeight="1" thickBot="1">
      <c r="A42" s="504" t="s">
        <v>142</v>
      </c>
      <c r="B42" s="505"/>
      <c r="C42" s="505"/>
      <c r="D42" s="505"/>
      <c r="E42" s="505"/>
      <c r="F42" s="505"/>
      <c r="G42" s="506"/>
      <c r="H42" s="980" t="s">
        <v>143</v>
      </c>
      <c r="I42" s="981"/>
      <c r="J42" s="394"/>
      <c r="K42" s="866" t="s">
        <v>213</v>
      </c>
      <c r="L42" s="867"/>
      <c r="M42" s="867"/>
      <c r="N42" s="867"/>
      <c r="O42" s="867"/>
      <c r="P42" s="867"/>
      <c r="Q42" s="867"/>
      <c r="R42" s="867"/>
      <c r="S42" s="867"/>
      <c r="T42" s="867"/>
      <c r="U42" s="867"/>
      <c r="V42" s="867"/>
      <c r="W42" s="867"/>
      <c r="X42" s="868"/>
      <c r="Y42" s="717">
        <v>1</v>
      </c>
      <c r="Z42" s="717"/>
      <c r="AA42" s="717"/>
      <c r="AB42" s="718"/>
      <c r="AC42" s="719"/>
      <c r="AD42" s="869"/>
      <c r="AE42" s="870"/>
      <c r="AF42" s="870"/>
      <c r="AG42" s="870"/>
      <c r="AH42" s="871"/>
      <c r="AI42" s="982"/>
    </row>
    <row r="43" spans="1:35">
      <c r="A43" s="486" t="s">
        <v>145</v>
      </c>
      <c r="B43" s="487"/>
      <c r="C43" s="487"/>
      <c r="D43" s="487"/>
      <c r="E43" s="487"/>
      <c r="F43" s="487"/>
      <c r="G43" s="488"/>
      <c r="H43" s="495" t="s">
        <v>146</v>
      </c>
      <c r="I43" s="496"/>
      <c r="J43" s="497"/>
      <c r="K43" s="872" t="s">
        <v>147</v>
      </c>
      <c r="L43" s="873"/>
      <c r="M43" s="873"/>
      <c r="N43" s="873"/>
      <c r="O43" s="873"/>
      <c r="P43" s="873"/>
      <c r="Q43" s="873"/>
      <c r="R43" s="873"/>
      <c r="S43" s="873"/>
      <c r="T43" s="873"/>
      <c r="U43" s="873"/>
      <c r="V43" s="873"/>
      <c r="W43" s="873"/>
      <c r="X43" s="874"/>
      <c r="Y43" s="731">
        <v>1</v>
      </c>
      <c r="Z43" s="732"/>
      <c r="AA43" s="733"/>
      <c r="AB43" s="734">
        <v>1</v>
      </c>
      <c r="AC43" s="735"/>
      <c r="AD43" s="875"/>
      <c r="AE43" s="876"/>
      <c r="AF43" s="876"/>
      <c r="AG43" s="876"/>
      <c r="AH43" s="877"/>
      <c r="AI43" s="982"/>
    </row>
    <row r="44" spans="1:35">
      <c r="A44" s="489"/>
      <c r="B44" s="490"/>
      <c r="C44" s="490"/>
      <c r="D44" s="490"/>
      <c r="E44" s="490"/>
      <c r="F44" s="490"/>
      <c r="G44" s="491"/>
      <c r="H44" s="498"/>
      <c r="I44" s="499"/>
      <c r="J44" s="500"/>
      <c r="K44" s="530" t="s">
        <v>148</v>
      </c>
      <c r="L44" s="531"/>
      <c r="M44" s="531"/>
      <c r="N44" s="531"/>
      <c r="O44" s="531"/>
      <c r="P44" s="531"/>
      <c r="Q44" s="531"/>
      <c r="R44" s="531"/>
      <c r="S44" s="531"/>
      <c r="T44" s="531"/>
      <c r="U44" s="531"/>
      <c r="V44" s="531"/>
      <c r="W44" s="531"/>
      <c r="X44" s="878"/>
      <c r="Y44" s="521">
        <v>1</v>
      </c>
      <c r="Z44" s="522"/>
      <c r="AA44" s="523"/>
      <c r="AB44" s="513"/>
      <c r="AC44" s="514"/>
      <c r="AD44" s="881"/>
      <c r="AE44" s="881"/>
      <c r="AF44" s="881"/>
      <c r="AG44" s="881"/>
      <c r="AH44" s="882"/>
      <c r="AI44" s="982"/>
    </row>
    <row r="45" spans="1:35">
      <c r="A45" s="489"/>
      <c r="B45" s="490"/>
      <c r="C45" s="490"/>
      <c r="D45" s="490"/>
      <c r="E45" s="490"/>
      <c r="F45" s="490"/>
      <c r="G45" s="491"/>
      <c r="H45" s="498"/>
      <c r="I45" s="499"/>
      <c r="J45" s="500"/>
      <c r="K45" s="530" t="s">
        <v>148</v>
      </c>
      <c r="L45" s="531"/>
      <c r="M45" s="531"/>
      <c r="N45" s="531"/>
      <c r="O45" s="531"/>
      <c r="P45" s="531"/>
      <c r="Q45" s="531"/>
      <c r="R45" s="531"/>
      <c r="S45" s="531"/>
      <c r="T45" s="531"/>
      <c r="U45" s="531"/>
      <c r="V45" s="531"/>
      <c r="W45" s="531"/>
      <c r="X45" s="878"/>
      <c r="Y45" s="521">
        <v>1</v>
      </c>
      <c r="Z45" s="522"/>
      <c r="AA45" s="523"/>
      <c r="AB45" s="513"/>
      <c r="AC45" s="514"/>
      <c r="AD45" s="883"/>
      <c r="AE45" s="884"/>
      <c r="AF45" s="884"/>
      <c r="AG45" s="884"/>
      <c r="AH45" s="885"/>
      <c r="AI45" s="982"/>
    </row>
    <row r="46" spans="1:35">
      <c r="A46" s="489"/>
      <c r="B46" s="490"/>
      <c r="C46" s="490"/>
      <c r="D46" s="490"/>
      <c r="E46" s="490"/>
      <c r="F46" s="490"/>
      <c r="G46" s="491"/>
      <c r="H46" s="498"/>
      <c r="I46" s="499"/>
      <c r="J46" s="500"/>
      <c r="K46" s="530" t="s">
        <v>148</v>
      </c>
      <c r="L46" s="531"/>
      <c r="M46" s="531"/>
      <c r="N46" s="531"/>
      <c r="O46" s="531"/>
      <c r="P46" s="531"/>
      <c r="Q46" s="531"/>
      <c r="R46" s="531"/>
      <c r="S46" s="531"/>
      <c r="T46" s="531"/>
      <c r="U46" s="531"/>
      <c r="V46" s="531"/>
      <c r="W46" s="531"/>
      <c r="X46" s="878"/>
      <c r="Y46" s="521">
        <v>1</v>
      </c>
      <c r="Z46" s="522"/>
      <c r="AA46" s="523"/>
      <c r="AB46" s="513"/>
      <c r="AC46" s="514"/>
      <c r="AD46" s="879"/>
      <c r="AE46" s="880"/>
      <c r="AF46" s="880"/>
      <c r="AG46" s="880"/>
      <c r="AH46" s="886"/>
      <c r="AI46" s="982"/>
    </row>
    <row r="47" spans="1:35">
      <c r="A47" s="489"/>
      <c r="B47" s="490"/>
      <c r="C47" s="490"/>
      <c r="D47" s="490"/>
      <c r="E47" s="490"/>
      <c r="F47" s="490"/>
      <c r="G47" s="491"/>
      <c r="H47" s="498"/>
      <c r="I47" s="499"/>
      <c r="J47" s="500"/>
      <c r="K47" s="530" t="s">
        <v>148</v>
      </c>
      <c r="L47" s="531"/>
      <c r="M47" s="531"/>
      <c r="N47" s="531"/>
      <c r="O47" s="531"/>
      <c r="P47" s="531"/>
      <c r="Q47" s="531"/>
      <c r="R47" s="531"/>
      <c r="S47" s="531"/>
      <c r="T47" s="531"/>
      <c r="U47" s="531"/>
      <c r="V47" s="531"/>
      <c r="W47" s="531"/>
      <c r="X47" s="878"/>
      <c r="Y47" s="521">
        <v>1</v>
      </c>
      <c r="Z47" s="522"/>
      <c r="AA47" s="523"/>
      <c r="AB47" s="513"/>
      <c r="AC47" s="514"/>
      <c r="AD47" s="879"/>
      <c r="AE47" s="880"/>
      <c r="AF47" s="880"/>
      <c r="AG47" s="880"/>
      <c r="AH47" s="886"/>
      <c r="AI47" s="982"/>
    </row>
    <row r="48" spans="1:35">
      <c r="A48" s="489"/>
      <c r="B48" s="490"/>
      <c r="C48" s="490"/>
      <c r="D48" s="490"/>
      <c r="E48" s="490"/>
      <c r="F48" s="490"/>
      <c r="G48" s="491"/>
      <c r="H48" s="498"/>
      <c r="I48" s="499"/>
      <c r="J48" s="500"/>
      <c r="K48" s="530" t="s">
        <v>150</v>
      </c>
      <c r="L48" s="887"/>
      <c r="M48" s="887"/>
      <c r="N48" s="887"/>
      <c r="O48" s="887"/>
      <c r="P48" s="887"/>
      <c r="Q48" s="887"/>
      <c r="R48" s="887"/>
      <c r="S48" s="887"/>
      <c r="T48" s="887"/>
      <c r="U48" s="887"/>
      <c r="V48" s="887"/>
      <c r="W48" s="887"/>
      <c r="X48" s="888"/>
      <c r="Y48" s="521">
        <v>1</v>
      </c>
      <c r="Z48" s="535"/>
      <c r="AA48" s="536"/>
      <c r="AB48" s="513"/>
      <c r="AC48" s="514"/>
      <c r="AD48" s="889"/>
      <c r="AE48" s="890"/>
      <c r="AF48" s="890"/>
      <c r="AG48" s="890"/>
      <c r="AH48" s="891"/>
      <c r="AI48" s="982"/>
    </row>
    <row r="49" spans="1:35">
      <c r="A49" s="489"/>
      <c r="B49" s="490"/>
      <c r="C49" s="490"/>
      <c r="D49" s="490"/>
      <c r="E49" s="490"/>
      <c r="F49" s="490"/>
      <c r="G49" s="491"/>
      <c r="H49" s="498"/>
      <c r="I49" s="499"/>
      <c r="J49" s="500"/>
      <c r="K49" s="530" t="s">
        <v>150</v>
      </c>
      <c r="L49" s="531"/>
      <c r="M49" s="531"/>
      <c r="N49" s="531"/>
      <c r="O49" s="531"/>
      <c r="P49" s="531"/>
      <c r="Q49" s="531"/>
      <c r="R49" s="531"/>
      <c r="S49" s="531"/>
      <c r="T49" s="531"/>
      <c r="U49" s="531"/>
      <c r="V49" s="531"/>
      <c r="W49" s="531"/>
      <c r="X49" s="878"/>
      <c r="Y49" s="521">
        <v>1</v>
      </c>
      <c r="Z49" s="522"/>
      <c r="AA49" s="523"/>
      <c r="AB49" s="513"/>
      <c r="AC49" s="514"/>
      <c r="AD49" s="892"/>
      <c r="AE49" s="893"/>
      <c r="AF49" s="893"/>
      <c r="AG49" s="893"/>
      <c r="AH49" s="894"/>
      <c r="AI49" s="982"/>
    </row>
    <row r="50" spans="1:35">
      <c r="A50" s="489"/>
      <c r="B50" s="490"/>
      <c r="C50" s="490"/>
      <c r="D50" s="490"/>
      <c r="E50" s="490"/>
      <c r="F50" s="490"/>
      <c r="G50" s="491"/>
      <c r="H50" s="498"/>
      <c r="I50" s="499"/>
      <c r="J50" s="500"/>
      <c r="K50" s="530" t="s">
        <v>149</v>
      </c>
      <c r="L50" s="531"/>
      <c r="M50" s="531"/>
      <c r="N50" s="531"/>
      <c r="O50" s="531"/>
      <c r="P50" s="531"/>
      <c r="Q50" s="531"/>
      <c r="R50" s="531"/>
      <c r="S50" s="531"/>
      <c r="T50" s="531"/>
      <c r="U50" s="531"/>
      <c r="V50" s="531"/>
      <c r="W50" s="531"/>
      <c r="X50" s="878"/>
      <c r="Y50" s="521">
        <v>1</v>
      </c>
      <c r="Z50" s="522"/>
      <c r="AA50" s="523"/>
      <c r="AB50" s="513"/>
      <c r="AC50" s="514"/>
      <c r="AD50" s="883"/>
      <c r="AE50" s="884"/>
      <c r="AF50" s="884"/>
      <c r="AG50" s="884"/>
      <c r="AH50" s="885"/>
      <c r="AI50" s="982"/>
    </row>
    <row r="51" spans="1:35">
      <c r="A51" s="489"/>
      <c r="B51" s="490"/>
      <c r="C51" s="490"/>
      <c r="D51" s="490"/>
      <c r="E51" s="490"/>
      <c r="F51" s="490"/>
      <c r="G51" s="491"/>
      <c r="H51" s="498"/>
      <c r="I51" s="499"/>
      <c r="J51" s="500"/>
      <c r="K51" s="530" t="s">
        <v>149</v>
      </c>
      <c r="L51" s="531"/>
      <c r="M51" s="531"/>
      <c r="N51" s="531"/>
      <c r="O51" s="531"/>
      <c r="P51" s="531"/>
      <c r="Q51" s="531"/>
      <c r="R51" s="531"/>
      <c r="S51" s="531"/>
      <c r="T51" s="531"/>
      <c r="U51" s="531"/>
      <c r="V51" s="531"/>
      <c r="W51" s="531"/>
      <c r="X51" s="878"/>
      <c r="Y51" s="521">
        <v>1</v>
      </c>
      <c r="Z51" s="522"/>
      <c r="AA51" s="523"/>
      <c r="AB51" s="743"/>
      <c r="AC51" s="744"/>
      <c r="AD51" s="895"/>
      <c r="AE51" s="896"/>
      <c r="AF51" s="896"/>
      <c r="AG51" s="896"/>
      <c r="AH51" s="897"/>
      <c r="AI51" s="982"/>
    </row>
    <row r="52" spans="1:35">
      <c r="A52" s="489"/>
      <c r="B52" s="490"/>
      <c r="C52" s="490"/>
      <c r="D52" s="490"/>
      <c r="E52" s="490"/>
      <c r="F52" s="490"/>
      <c r="G52" s="491"/>
      <c r="H52" s="498"/>
      <c r="I52" s="499"/>
      <c r="J52" s="500"/>
      <c r="K52" s="530" t="s">
        <v>149</v>
      </c>
      <c r="L52" s="531"/>
      <c r="M52" s="531"/>
      <c r="N52" s="531"/>
      <c r="O52" s="531"/>
      <c r="P52" s="531"/>
      <c r="Q52" s="531"/>
      <c r="R52" s="531"/>
      <c r="S52" s="531"/>
      <c r="T52" s="531"/>
      <c r="U52" s="531"/>
      <c r="V52" s="531"/>
      <c r="W52" s="531"/>
      <c r="X52" s="878"/>
      <c r="Y52" s="521">
        <v>1</v>
      </c>
      <c r="Z52" s="522"/>
      <c r="AA52" s="523"/>
      <c r="AB52" s="513"/>
      <c r="AC52" s="514"/>
      <c r="AD52" s="883"/>
      <c r="AE52" s="884"/>
      <c r="AF52" s="884"/>
      <c r="AG52" s="884"/>
      <c r="AH52" s="885"/>
      <c r="AI52" s="982"/>
    </row>
    <row r="53" spans="1:35">
      <c r="A53" s="489"/>
      <c r="B53" s="490"/>
      <c r="C53" s="490"/>
      <c r="D53" s="490"/>
      <c r="E53" s="490"/>
      <c r="F53" s="490"/>
      <c r="G53" s="491"/>
      <c r="H53" s="498"/>
      <c r="I53" s="499"/>
      <c r="J53" s="500"/>
      <c r="K53" s="530" t="s">
        <v>149</v>
      </c>
      <c r="L53" s="531"/>
      <c r="M53" s="531"/>
      <c r="N53" s="531"/>
      <c r="O53" s="531"/>
      <c r="P53" s="531"/>
      <c r="Q53" s="531"/>
      <c r="R53" s="531"/>
      <c r="S53" s="531"/>
      <c r="T53" s="531"/>
      <c r="U53" s="531"/>
      <c r="V53" s="531"/>
      <c r="W53" s="531"/>
      <c r="X53" s="878"/>
      <c r="Y53" s="521">
        <v>1</v>
      </c>
      <c r="Z53" s="522"/>
      <c r="AA53" s="523"/>
      <c r="AB53" s="513"/>
      <c r="AC53" s="514"/>
      <c r="AD53" s="889"/>
      <c r="AE53" s="890"/>
      <c r="AF53" s="890"/>
      <c r="AG53" s="890"/>
      <c r="AH53" s="891"/>
      <c r="AI53" s="982"/>
    </row>
    <row r="54" spans="1:35">
      <c r="A54" s="489"/>
      <c r="B54" s="490"/>
      <c r="C54" s="490"/>
      <c r="D54" s="490"/>
      <c r="E54" s="490"/>
      <c r="F54" s="490"/>
      <c r="G54" s="491"/>
      <c r="H54" s="498"/>
      <c r="I54" s="499"/>
      <c r="J54" s="500"/>
      <c r="K54" s="530" t="s">
        <v>149</v>
      </c>
      <c r="L54" s="531"/>
      <c r="M54" s="531"/>
      <c r="N54" s="531"/>
      <c r="O54" s="531"/>
      <c r="P54" s="531"/>
      <c r="Q54" s="531"/>
      <c r="R54" s="531"/>
      <c r="S54" s="531"/>
      <c r="T54" s="531"/>
      <c r="U54" s="531"/>
      <c r="V54" s="531"/>
      <c r="W54" s="531"/>
      <c r="X54" s="878"/>
      <c r="Y54" s="521">
        <v>1</v>
      </c>
      <c r="Z54" s="522"/>
      <c r="AA54" s="523"/>
      <c r="AB54" s="513"/>
      <c r="AC54" s="514"/>
      <c r="AD54" s="883"/>
      <c r="AE54" s="884"/>
      <c r="AF54" s="884"/>
      <c r="AG54" s="884"/>
      <c r="AH54" s="885"/>
      <c r="AI54" s="982"/>
    </row>
    <row r="55" spans="1:35" ht="15.75" thickBot="1">
      <c r="A55" s="492"/>
      <c r="B55" s="493"/>
      <c r="C55" s="493"/>
      <c r="D55" s="493"/>
      <c r="E55" s="493"/>
      <c r="F55" s="493"/>
      <c r="G55" s="494"/>
      <c r="H55" s="501"/>
      <c r="I55" s="502"/>
      <c r="J55" s="503"/>
      <c r="K55" s="530" t="s">
        <v>149</v>
      </c>
      <c r="L55" s="531"/>
      <c r="M55" s="531"/>
      <c r="N55" s="531"/>
      <c r="O55" s="531"/>
      <c r="P55" s="531"/>
      <c r="Q55" s="531"/>
      <c r="R55" s="531"/>
      <c r="S55" s="531"/>
      <c r="T55" s="531"/>
      <c r="U55" s="531"/>
      <c r="V55" s="531"/>
      <c r="W55" s="531"/>
      <c r="X55" s="878"/>
      <c r="Y55" s="521">
        <v>1</v>
      </c>
      <c r="Z55" s="522"/>
      <c r="AA55" s="523"/>
      <c r="AB55" s="513"/>
      <c r="AC55" s="514"/>
      <c r="AD55" s="883"/>
      <c r="AE55" s="884"/>
      <c r="AF55" s="884"/>
      <c r="AG55" s="884"/>
      <c r="AH55" s="885"/>
      <c r="AI55" s="982"/>
    </row>
    <row r="56" spans="1:35">
      <c r="A56" s="486" t="s">
        <v>157</v>
      </c>
      <c r="B56" s="487"/>
      <c r="C56" s="487"/>
      <c r="D56" s="487"/>
      <c r="E56" s="487"/>
      <c r="F56" s="487"/>
      <c r="G56" s="488"/>
      <c r="H56" s="495" t="s">
        <v>151</v>
      </c>
      <c r="I56" s="496"/>
      <c r="J56" s="497"/>
      <c r="K56" s="872" t="s">
        <v>147</v>
      </c>
      <c r="L56" s="873"/>
      <c r="M56" s="873"/>
      <c r="N56" s="873"/>
      <c r="O56" s="873"/>
      <c r="P56" s="873"/>
      <c r="Q56" s="873"/>
      <c r="R56" s="873"/>
      <c r="S56" s="873"/>
      <c r="T56" s="873"/>
      <c r="U56" s="873"/>
      <c r="V56" s="873"/>
      <c r="W56" s="873"/>
      <c r="X56" s="874"/>
      <c r="Y56" s="731">
        <v>1</v>
      </c>
      <c r="Z56" s="732"/>
      <c r="AA56" s="733"/>
      <c r="AB56" s="734">
        <v>1</v>
      </c>
      <c r="AC56" s="735"/>
      <c r="AD56" s="875"/>
      <c r="AE56" s="876"/>
      <c r="AF56" s="876"/>
      <c r="AG56" s="876"/>
      <c r="AH56" s="877"/>
      <c r="AI56" s="982"/>
    </row>
    <row r="57" spans="1:35">
      <c r="A57" s="489"/>
      <c r="B57" s="490"/>
      <c r="C57" s="490"/>
      <c r="D57" s="490"/>
      <c r="E57" s="490"/>
      <c r="F57" s="490"/>
      <c r="G57" s="491"/>
      <c r="H57" s="498"/>
      <c r="I57" s="499"/>
      <c r="J57" s="500"/>
      <c r="K57" s="866" t="s">
        <v>144</v>
      </c>
      <c r="L57" s="867"/>
      <c r="M57" s="867"/>
      <c r="N57" s="867"/>
      <c r="O57" s="867"/>
      <c r="P57" s="867"/>
      <c r="Q57" s="867"/>
      <c r="R57" s="867"/>
      <c r="S57" s="867"/>
      <c r="T57" s="867"/>
      <c r="U57" s="867"/>
      <c r="V57" s="867"/>
      <c r="W57" s="867"/>
      <c r="X57" s="868"/>
      <c r="Y57" s="717">
        <v>1</v>
      </c>
      <c r="Z57" s="717"/>
      <c r="AA57" s="717"/>
      <c r="AB57" s="718"/>
      <c r="AC57" s="719"/>
      <c r="AD57" s="869"/>
      <c r="AE57" s="870"/>
      <c r="AF57" s="870"/>
      <c r="AG57" s="870"/>
      <c r="AH57" s="871"/>
      <c r="AI57" s="982"/>
    </row>
    <row r="58" spans="1:35">
      <c r="A58" s="489"/>
      <c r="B58" s="490"/>
      <c r="C58" s="490"/>
      <c r="D58" s="490"/>
      <c r="E58" s="490"/>
      <c r="F58" s="490"/>
      <c r="G58" s="491"/>
      <c r="H58" s="498"/>
      <c r="I58" s="499"/>
      <c r="J58" s="500"/>
      <c r="K58" s="530" t="s">
        <v>158</v>
      </c>
      <c r="L58" s="531"/>
      <c r="M58" s="531"/>
      <c r="N58" s="531"/>
      <c r="O58" s="531"/>
      <c r="P58" s="531"/>
      <c r="Q58" s="531"/>
      <c r="R58" s="531"/>
      <c r="S58" s="531"/>
      <c r="T58" s="531"/>
      <c r="U58" s="531"/>
      <c r="V58" s="531"/>
      <c r="W58" s="531"/>
      <c r="X58" s="539"/>
      <c r="Y58" s="783">
        <v>1</v>
      </c>
      <c r="Z58" s="784"/>
      <c r="AA58" s="785"/>
      <c r="AB58" s="773"/>
      <c r="AC58" s="774"/>
      <c r="AD58" s="898"/>
      <c r="AE58" s="899"/>
      <c r="AF58" s="899"/>
      <c r="AG58" s="899"/>
      <c r="AH58" s="900"/>
      <c r="AI58" s="982"/>
    </row>
    <row r="59" spans="1:35">
      <c r="A59" s="489"/>
      <c r="B59" s="490"/>
      <c r="C59" s="490"/>
      <c r="D59" s="490"/>
      <c r="E59" s="490"/>
      <c r="F59" s="490"/>
      <c r="G59" s="491"/>
      <c r="H59" s="498"/>
      <c r="I59" s="499"/>
      <c r="J59" s="500"/>
      <c r="K59" s="530" t="s">
        <v>158</v>
      </c>
      <c r="L59" s="531"/>
      <c r="M59" s="531"/>
      <c r="N59" s="531"/>
      <c r="O59" s="531"/>
      <c r="P59" s="531"/>
      <c r="Q59" s="531"/>
      <c r="R59" s="531"/>
      <c r="S59" s="531"/>
      <c r="T59" s="531"/>
      <c r="U59" s="531"/>
      <c r="V59" s="531"/>
      <c r="W59" s="531"/>
      <c r="X59" s="539"/>
      <c r="Y59" s="521">
        <v>1</v>
      </c>
      <c r="Z59" s="522"/>
      <c r="AA59" s="523"/>
      <c r="AB59" s="513"/>
      <c r="AC59" s="514"/>
      <c r="AD59" s="889"/>
      <c r="AE59" s="890"/>
      <c r="AF59" s="890"/>
      <c r="AG59" s="890"/>
      <c r="AH59" s="891"/>
      <c r="AI59" s="982"/>
    </row>
    <row r="60" spans="1:35">
      <c r="A60" s="489"/>
      <c r="B60" s="490"/>
      <c r="C60" s="490"/>
      <c r="D60" s="490"/>
      <c r="E60" s="490"/>
      <c r="F60" s="490"/>
      <c r="G60" s="491"/>
      <c r="H60" s="498"/>
      <c r="I60" s="499"/>
      <c r="J60" s="500"/>
      <c r="K60" s="530" t="s">
        <v>158</v>
      </c>
      <c r="L60" s="531"/>
      <c r="M60" s="531"/>
      <c r="N60" s="531"/>
      <c r="O60" s="531"/>
      <c r="P60" s="531"/>
      <c r="Q60" s="531"/>
      <c r="R60" s="531"/>
      <c r="S60" s="531"/>
      <c r="T60" s="531"/>
      <c r="U60" s="531"/>
      <c r="V60" s="531"/>
      <c r="W60" s="531"/>
      <c r="X60" s="539"/>
      <c r="Y60" s="521">
        <v>1</v>
      </c>
      <c r="Z60" s="522"/>
      <c r="AA60" s="523"/>
      <c r="AB60" s="513"/>
      <c r="AC60" s="514"/>
      <c r="AD60" s="889"/>
      <c r="AE60" s="890"/>
      <c r="AF60" s="890"/>
      <c r="AG60" s="890"/>
      <c r="AH60" s="891"/>
      <c r="AI60" s="982"/>
    </row>
    <row r="61" spans="1:35">
      <c r="A61" s="489"/>
      <c r="B61" s="490"/>
      <c r="C61" s="490"/>
      <c r="D61" s="490"/>
      <c r="E61" s="490"/>
      <c r="F61" s="490"/>
      <c r="G61" s="491"/>
      <c r="H61" s="498"/>
      <c r="I61" s="499"/>
      <c r="J61" s="500"/>
      <c r="K61" s="530" t="s">
        <v>158</v>
      </c>
      <c r="L61" s="531"/>
      <c r="M61" s="531"/>
      <c r="N61" s="531"/>
      <c r="O61" s="531"/>
      <c r="P61" s="531"/>
      <c r="Q61" s="531"/>
      <c r="R61" s="531"/>
      <c r="S61" s="531"/>
      <c r="T61" s="531"/>
      <c r="U61" s="531"/>
      <c r="V61" s="531"/>
      <c r="W61" s="531"/>
      <c r="X61" s="539"/>
      <c r="Y61" s="521">
        <v>1</v>
      </c>
      <c r="Z61" s="522"/>
      <c r="AA61" s="523"/>
      <c r="AB61" s="513"/>
      <c r="AC61" s="514"/>
      <c r="AD61" s="889"/>
      <c r="AE61" s="890"/>
      <c r="AF61" s="890"/>
      <c r="AG61" s="890"/>
      <c r="AH61" s="891"/>
      <c r="AI61" s="982"/>
    </row>
    <row r="62" spans="1:35">
      <c r="A62" s="489"/>
      <c r="B62" s="490"/>
      <c r="C62" s="490"/>
      <c r="D62" s="490"/>
      <c r="E62" s="490"/>
      <c r="F62" s="490"/>
      <c r="G62" s="491"/>
      <c r="H62" s="498"/>
      <c r="I62" s="499"/>
      <c r="J62" s="500"/>
      <c r="K62" s="530" t="s">
        <v>158</v>
      </c>
      <c r="L62" s="531"/>
      <c r="M62" s="531"/>
      <c r="N62" s="531"/>
      <c r="O62" s="531"/>
      <c r="P62" s="531"/>
      <c r="Q62" s="531"/>
      <c r="R62" s="531"/>
      <c r="S62" s="531"/>
      <c r="T62" s="531"/>
      <c r="U62" s="531"/>
      <c r="V62" s="531"/>
      <c r="W62" s="531"/>
      <c r="X62" s="539"/>
      <c r="Y62" s="521">
        <v>1</v>
      </c>
      <c r="Z62" s="522"/>
      <c r="AA62" s="523"/>
      <c r="AB62" s="513"/>
      <c r="AC62" s="514"/>
      <c r="AD62" s="889"/>
      <c r="AE62" s="890"/>
      <c r="AF62" s="890"/>
      <c r="AG62" s="890"/>
      <c r="AH62" s="891"/>
      <c r="AI62" s="982"/>
    </row>
    <row r="63" spans="1:35">
      <c r="A63" s="489"/>
      <c r="B63" s="490"/>
      <c r="C63" s="490"/>
      <c r="D63" s="490"/>
      <c r="E63" s="490"/>
      <c r="F63" s="490"/>
      <c r="G63" s="491"/>
      <c r="H63" s="498"/>
      <c r="I63" s="499"/>
      <c r="J63" s="500"/>
      <c r="K63" s="530" t="s">
        <v>158</v>
      </c>
      <c r="L63" s="531"/>
      <c r="M63" s="531"/>
      <c r="N63" s="531"/>
      <c r="O63" s="531"/>
      <c r="P63" s="531"/>
      <c r="Q63" s="531"/>
      <c r="R63" s="531"/>
      <c r="S63" s="531"/>
      <c r="T63" s="531"/>
      <c r="U63" s="531"/>
      <c r="V63" s="531"/>
      <c r="W63" s="531"/>
      <c r="X63" s="539"/>
      <c r="Y63" s="521">
        <v>1</v>
      </c>
      <c r="Z63" s="522"/>
      <c r="AA63" s="523"/>
      <c r="AB63" s="513">
        <v>1</v>
      </c>
      <c r="AC63" s="514"/>
      <c r="AD63" s="889"/>
      <c r="AE63" s="890"/>
      <c r="AF63" s="890"/>
      <c r="AG63" s="890"/>
      <c r="AH63" s="891"/>
      <c r="AI63" s="982"/>
    </row>
    <row r="64" spans="1:35">
      <c r="A64" s="489"/>
      <c r="B64" s="490"/>
      <c r="C64" s="490"/>
      <c r="D64" s="490"/>
      <c r="E64" s="490"/>
      <c r="F64" s="490"/>
      <c r="G64" s="491"/>
      <c r="H64" s="498"/>
      <c r="I64" s="499"/>
      <c r="J64" s="500"/>
      <c r="K64" s="530" t="s">
        <v>158</v>
      </c>
      <c r="L64" s="531"/>
      <c r="M64" s="531"/>
      <c r="N64" s="531"/>
      <c r="O64" s="531"/>
      <c r="P64" s="531"/>
      <c r="Q64" s="531"/>
      <c r="R64" s="531"/>
      <c r="S64" s="531"/>
      <c r="T64" s="531"/>
      <c r="U64" s="531"/>
      <c r="V64" s="531"/>
      <c r="W64" s="531"/>
      <c r="X64" s="539"/>
      <c r="Y64" s="521">
        <v>1</v>
      </c>
      <c r="Z64" s="535"/>
      <c r="AA64" s="536"/>
      <c r="AB64" s="513">
        <v>1</v>
      </c>
      <c r="AC64" s="514"/>
      <c r="AD64" s="883"/>
      <c r="AE64" s="884"/>
      <c r="AF64" s="884"/>
      <c r="AG64" s="884"/>
      <c r="AH64" s="885"/>
      <c r="AI64" s="982"/>
    </row>
    <row r="65" spans="1:35">
      <c r="A65" s="489"/>
      <c r="B65" s="490"/>
      <c r="C65" s="490"/>
      <c r="D65" s="490"/>
      <c r="E65" s="490"/>
      <c r="F65" s="490"/>
      <c r="G65" s="491"/>
      <c r="H65" s="498"/>
      <c r="I65" s="499"/>
      <c r="J65" s="500"/>
      <c r="K65" s="901" t="s">
        <v>132</v>
      </c>
      <c r="L65" s="902"/>
      <c r="M65" s="902"/>
      <c r="N65" s="902"/>
      <c r="O65" s="902"/>
      <c r="P65" s="902"/>
      <c r="Q65" s="902"/>
      <c r="R65" s="902"/>
      <c r="S65" s="902"/>
      <c r="T65" s="902"/>
      <c r="U65" s="902"/>
      <c r="V65" s="902"/>
      <c r="W65" s="902"/>
      <c r="X65" s="902"/>
      <c r="Y65" s="521">
        <v>1</v>
      </c>
      <c r="Z65" s="522"/>
      <c r="AA65" s="523"/>
      <c r="AB65" s="513"/>
      <c r="AC65" s="514"/>
      <c r="AD65" s="892"/>
      <c r="AE65" s="893"/>
      <c r="AF65" s="893"/>
      <c r="AG65" s="893"/>
      <c r="AH65" s="894"/>
      <c r="AI65" s="982"/>
    </row>
    <row r="66" spans="1:35">
      <c r="A66" s="489"/>
      <c r="B66" s="490"/>
      <c r="C66" s="490"/>
      <c r="D66" s="490"/>
      <c r="E66" s="490"/>
      <c r="F66" s="490"/>
      <c r="G66" s="491"/>
      <c r="H66" s="498"/>
      <c r="I66" s="499"/>
      <c r="J66" s="500"/>
      <c r="K66" s="901" t="s">
        <v>132</v>
      </c>
      <c r="L66" s="902"/>
      <c r="M66" s="902"/>
      <c r="N66" s="902"/>
      <c r="O66" s="902"/>
      <c r="P66" s="902"/>
      <c r="Q66" s="902"/>
      <c r="R66" s="902"/>
      <c r="S66" s="902"/>
      <c r="T66" s="902"/>
      <c r="U66" s="902"/>
      <c r="V66" s="902"/>
      <c r="W66" s="902"/>
      <c r="X66" s="902"/>
      <c r="Y66" s="521">
        <v>1</v>
      </c>
      <c r="Z66" s="522"/>
      <c r="AA66" s="523"/>
      <c r="AB66" s="513"/>
      <c r="AC66" s="514"/>
      <c r="AD66" s="889"/>
      <c r="AE66" s="890"/>
      <c r="AF66" s="890"/>
      <c r="AG66" s="890"/>
      <c r="AH66" s="891"/>
      <c r="AI66" s="982"/>
    </row>
    <row r="67" spans="1:35">
      <c r="A67" s="489"/>
      <c r="B67" s="490"/>
      <c r="C67" s="490"/>
      <c r="D67" s="490"/>
      <c r="E67" s="490"/>
      <c r="F67" s="490"/>
      <c r="G67" s="491"/>
      <c r="H67" s="498"/>
      <c r="I67" s="499"/>
      <c r="J67" s="500"/>
      <c r="K67" s="901" t="s">
        <v>132</v>
      </c>
      <c r="L67" s="902"/>
      <c r="M67" s="902"/>
      <c r="N67" s="902"/>
      <c r="O67" s="902"/>
      <c r="P67" s="902"/>
      <c r="Q67" s="902"/>
      <c r="R67" s="902"/>
      <c r="S67" s="902"/>
      <c r="T67" s="902"/>
      <c r="U67" s="902"/>
      <c r="V67" s="902"/>
      <c r="W67" s="902"/>
      <c r="X67" s="903"/>
      <c r="Y67" s="521">
        <v>1</v>
      </c>
      <c r="Z67" s="522"/>
      <c r="AA67" s="523"/>
      <c r="AB67" s="513"/>
      <c r="AC67" s="514"/>
      <c r="AD67" s="889"/>
      <c r="AE67" s="890"/>
      <c r="AF67" s="890"/>
      <c r="AG67" s="890"/>
      <c r="AH67" s="891"/>
      <c r="AI67" s="982"/>
    </row>
    <row r="68" spans="1:35">
      <c r="A68" s="489"/>
      <c r="B68" s="490"/>
      <c r="C68" s="490"/>
      <c r="D68" s="490"/>
      <c r="E68" s="490"/>
      <c r="F68" s="490"/>
      <c r="G68" s="491"/>
      <c r="H68" s="498"/>
      <c r="I68" s="499"/>
      <c r="J68" s="500"/>
      <c r="K68" s="530" t="s">
        <v>132</v>
      </c>
      <c r="L68" s="531"/>
      <c r="M68" s="531"/>
      <c r="N68" s="531"/>
      <c r="O68" s="531"/>
      <c r="P68" s="531"/>
      <c r="Q68" s="531"/>
      <c r="R68" s="531"/>
      <c r="S68" s="531"/>
      <c r="T68" s="531"/>
      <c r="U68" s="531"/>
      <c r="V68" s="531"/>
      <c r="W68" s="539"/>
      <c r="X68" s="903"/>
      <c r="Y68" s="521">
        <v>1</v>
      </c>
      <c r="Z68" s="522"/>
      <c r="AA68" s="523"/>
      <c r="AB68" s="513"/>
      <c r="AC68" s="514"/>
      <c r="AD68" s="889"/>
      <c r="AE68" s="890"/>
      <c r="AF68" s="890"/>
      <c r="AG68" s="890"/>
      <c r="AH68" s="891"/>
      <c r="AI68" s="982"/>
    </row>
    <row r="69" spans="1:35">
      <c r="A69" s="489"/>
      <c r="B69" s="490"/>
      <c r="C69" s="490"/>
      <c r="D69" s="490"/>
      <c r="E69" s="490"/>
      <c r="F69" s="490"/>
      <c r="G69" s="491"/>
      <c r="H69" s="498"/>
      <c r="I69" s="499"/>
      <c r="J69" s="500"/>
      <c r="K69" s="530" t="s">
        <v>132</v>
      </c>
      <c r="L69" s="531"/>
      <c r="M69" s="531"/>
      <c r="N69" s="531"/>
      <c r="O69" s="531"/>
      <c r="P69" s="531"/>
      <c r="Q69" s="531"/>
      <c r="R69" s="531"/>
      <c r="S69" s="531"/>
      <c r="T69" s="531"/>
      <c r="U69" s="531"/>
      <c r="V69" s="531"/>
      <c r="W69" s="539"/>
      <c r="X69" s="408"/>
      <c r="Y69" s="521">
        <v>1</v>
      </c>
      <c r="Z69" s="522"/>
      <c r="AA69" s="523"/>
      <c r="AB69" s="513"/>
      <c r="AC69" s="514"/>
      <c r="AD69" s="904"/>
      <c r="AE69" s="905"/>
      <c r="AF69" s="905"/>
      <c r="AG69" s="905"/>
      <c r="AH69" s="906"/>
      <c r="AI69" s="982"/>
    </row>
    <row r="70" spans="1:35">
      <c r="A70" s="489"/>
      <c r="B70" s="490"/>
      <c r="C70" s="490"/>
      <c r="D70" s="490"/>
      <c r="E70" s="490"/>
      <c r="F70" s="490"/>
      <c r="G70" s="491"/>
      <c r="H70" s="498"/>
      <c r="I70" s="499"/>
      <c r="J70" s="500"/>
      <c r="K70" s="530" t="s">
        <v>132</v>
      </c>
      <c r="L70" s="531"/>
      <c r="M70" s="531"/>
      <c r="N70" s="531"/>
      <c r="O70" s="531"/>
      <c r="P70" s="531"/>
      <c r="Q70" s="531"/>
      <c r="R70" s="531"/>
      <c r="S70" s="531"/>
      <c r="T70" s="531"/>
      <c r="U70" s="531"/>
      <c r="V70" s="531"/>
      <c r="W70" s="539"/>
      <c r="X70" s="408"/>
      <c r="Y70" s="521">
        <v>1</v>
      </c>
      <c r="Z70" s="522"/>
      <c r="AA70" s="523"/>
      <c r="AB70" s="513"/>
      <c r="AC70" s="514"/>
      <c r="AD70" s="883"/>
      <c r="AE70" s="884"/>
      <c r="AF70" s="884"/>
      <c r="AG70" s="884"/>
      <c r="AH70" s="885"/>
      <c r="AI70" s="982"/>
    </row>
    <row r="71" spans="1:35">
      <c r="A71" s="489"/>
      <c r="B71" s="490"/>
      <c r="C71" s="490"/>
      <c r="D71" s="490"/>
      <c r="E71" s="490"/>
      <c r="F71" s="490"/>
      <c r="G71" s="491"/>
      <c r="H71" s="498"/>
      <c r="I71" s="499"/>
      <c r="J71" s="500"/>
      <c r="K71" s="530" t="s">
        <v>159</v>
      </c>
      <c r="L71" s="531"/>
      <c r="M71" s="531"/>
      <c r="N71" s="531"/>
      <c r="O71" s="531"/>
      <c r="P71" s="531"/>
      <c r="Q71" s="531"/>
      <c r="R71" s="531"/>
      <c r="S71" s="531"/>
      <c r="T71" s="531"/>
      <c r="U71" s="531"/>
      <c r="V71" s="531"/>
      <c r="W71" s="531"/>
      <c r="X71" s="878"/>
      <c r="Y71" s="521">
        <v>1</v>
      </c>
      <c r="Z71" s="522"/>
      <c r="AA71" s="523"/>
      <c r="AB71" s="513"/>
      <c r="AC71" s="514"/>
      <c r="AD71" s="883"/>
      <c r="AE71" s="884"/>
      <c r="AF71" s="884"/>
      <c r="AG71" s="884"/>
      <c r="AH71" s="885"/>
      <c r="AI71" s="982"/>
    </row>
    <row r="72" spans="1:35">
      <c r="A72" s="489"/>
      <c r="B72" s="490"/>
      <c r="C72" s="490"/>
      <c r="D72" s="490"/>
      <c r="E72" s="490"/>
      <c r="F72" s="490"/>
      <c r="G72" s="491"/>
      <c r="H72" s="498"/>
      <c r="I72" s="499"/>
      <c r="J72" s="500"/>
      <c r="K72" s="530" t="s">
        <v>159</v>
      </c>
      <c r="L72" s="531"/>
      <c r="M72" s="531"/>
      <c r="N72" s="531"/>
      <c r="O72" s="531"/>
      <c r="P72" s="531"/>
      <c r="Q72" s="531"/>
      <c r="R72" s="531"/>
      <c r="S72" s="531"/>
      <c r="T72" s="531"/>
      <c r="U72" s="531"/>
      <c r="V72" s="531"/>
      <c r="W72" s="531"/>
      <c r="X72" s="878"/>
      <c r="Y72" s="521">
        <v>1</v>
      </c>
      <c r="Z72" s="522"/>
      <c r="AA72" s="523"/>
      <c r="AB72" s="513"/>
      <c r="AC72" s="514"/>
      <c r="AD72" s="889"/>
      <c r="AE72" s="890"/>
      <c r="AF72" s="890"/>
      <c r="AG72" s="890"/>
      <c r="AH72" s="891"/>
      <c r="AI72" s="982"/>
    </row>
    <row r="73" spans="1:35">
      <c r="A73" s="489"/>
      <c r="B73" s="490"/>
      <c r="C73" s="490"/>
      <c r="D73" s="490"/>
      <c r="E73" s="490"/>
      <c r="F73" s="490"/>
      <c r="G73" s="491"/>
      <c r="H73" s="498"/>
      <c r="I73" s="499"/>
      <c r="J73" s="500"/>
      <c r="K73" s="907" t="s">
        <v>159</v>
      </c>
      <c r="L73" s="908"/>
      <c r="M73" s="908"/>
      <c r="N73" s="908"/>
      <c r="O73" s="908"/>
      <c r="P73" s="908"/>
      <c r="Q73" s="908"/>
      <c r="R73" s="908"/>
      <c r="S73" s="908"/>
      <c r="T73" s="908"/>
      <c r="U73" s="908"/>
      <c r="V73" s="908"/>
      <c r="W73" s="908"/>
      <c r="X73" s="909"/>
      <c r="Y73" s="521">
        <v>1</v>
      </c>
      <c r="Z73" s="535"/>
      <c r="AA73" s="536"/>
      <c r="AB73" s="406"/>
      <c r="AC73" s="407"/>
      <c r="AD73" s="910"/>
      <c r="AE73" s="911"/>
      <c r="AF73" s="911"/>
      <c r="AG73" s="911"/>
      <c r="AH73" s="912"/>
      <c r="AI73" s="982"/>
    </row>
    <row r="74" spans="1:35" ht="15.75" thickBot="1">
      <c r="A74" s="492"/>
      <c r="B74" s="493"/>
      <c r="C74" s="493"/>
      <c r="D74" s="493"/>
      <c r="E74" s="493"/>
      <c r="F74" s="493"/>
      <c r="G74" s="494"/>
      <c r="H74" s="501"/>
      <c r="I74" s="502"/>
      <c r="J74" s="503"/>
      <c r="K74" s="530" t="s">
        <v>159</v>
      </c>
      <c r="L74" s="887"/>
      <c r="M74" s="887"/>
      <c r="N74" s="887"/>
      <c r="O74" s="887"/>
      <c r="P74" s="887"/>
      <c r="Q74" s="887"/>
      <c r="R74" s="887"/>
      <c r="S74" s="887"/>
      <c r="T74" s="887"/>
      <c r="U74" s="887"/>
      <c r="V74" s="887"/>
      <c r="W74" s="887"/>
      <c r="X74" s="888"/>
      <c r="Y74" s="521">
        <v>1</v>
      </c>
      <c r="Z74" s="535"/>
      <c r="AA74" s="536"/>
      <c r="AB74" s="513"/>
      <c r="AC74" s="514"/>
      <c r="AD74" s="889"/>
      <c r="AE74" s="890"/>
      <c r="AF74" s="890"/>
      <c r="AG74" s="890"/>
      <c r="AH74" s="891"/>
      <c r="AI74" s="982"/>
    </row>
    <row r="75" spans="1:35">
      <c r="A75" s="486" t="s">
        <v>152</v>
      </c>
      <c r="B75" s="487"/>
      <c r="C75" s="487"/>
      <c r="D75" s="487"/>
      <c r="E75" s="487"/>
      <c r="F75" s="487"/>
      <c r="G75" s="488"/>
      <c r="H75" s="495" t="s">
        <v>153</v>
      </c>
      <c r="I75" s="496"/>
      <c r="J75" s="497"/>
      <c r="K75" s="913" t="s">
        <v>147</v>
      </c>
      <c r="L75" s="913"/>
      <c r="M75" s="913"/>
      <c r="N75" s="913"/>
      <c r="O75" s="913"/>
      <c r="P75" s="913"/>
      <c r="Q75" s="913"/>
      <c r="R75" s="913"/>
      <c r="S75" s="913"/>
      <c r="T75" s="913"/>
      <c r="U75" s="913"/>
      <c r="V75" s="913"/>
      <c r="W75" s="913"/>
      <c r="X75" s="913"/>
      <c r="Y75" s="778">
        <v>1</v>
      </c>
      <c r="Z75" s="778"/>
      <c r="AA75" s="778"/>
      <c r="AB75" s="734">
        <v>1</v>
      </c>
      <c r="AC75" s="735"/>
      <c r="AD75" s="875"/>
      <c r="AE75" s="876"/>
      <c r="AF75" s="876"/>
      <c r="AG75" s="876"/>
      <c r="AH75" s="877"/>
      <c r="AI75" s="982"/>
    </row>
    <row r="76" spans="1:35">
      <c r="A76" s="489"/>
      <c r="B76" s="490"/>
      <c r="C76" s="490"/>
      <c r="D76" s="490"/>
      <c r="E76" s="490"/>
      <c r="F76" s="490"/>
      <c r="G76" s="491"/>
      <c r="H76" s="498"/>
      <c r="I76" s="499"/>
      <c r="J76" s="500"/>
      <c r="K76" s="530" t="s">
        <v>150</v>
      </c>
      <c r="L76" s="887"/>
      <c r="M76" s="887"/>
      <c r="N76" s="887"/>
      <c r="O76" s="887"/>
      <c r="P76" s="887"/>
      <c r="Q76" s="887"/>
      <c r="R76" s="887"/>
      <c r="S76" s="887"/>
      <c r="T76" s="887"/>
      <c r="U76" s="887"/>
      <c r="V76" s="887"/>
      <c r="W76" s="887"/>
      <c r="X76" s="888"/>
      <c r="Y76" s="521">
        <v>1</v>
      </c>
      <c r="Z76" s="522"/>
      <c r="AA76" s="523"/>
      <c r="AB76" s="513">
        <v>1</v>
      </c>
      <c r="AC76" s="514"/>
      <c r="AD76" s="889"/>
      <c r="AE76" s="890"/>
      <c r="AF76" s="890"/>
      <c r="AG76" s="890"/>
      <c r="AH76" s="891"/>
      <c r="AI76" s="982"/>
    </row>
    <row r="77" spans="1:35">
      <c r="A77" s="489"/>
      <c r="B77" s="490"/>
      <c r="C77" s="490"/>
      <c r="D77" s="490"/>
      <c r="E77" s="490"/>
      <c r="F77" s="490"/>
      <c r="G77" s="491"/>
      <c r="H77" s="498"/>
      <c r="I77" s="499"/>
      <c r="J77" s="500"/>
      <c r="K77" s="530" t="s">
        <v>150</v>
      </c>
      <c r="L77" s="887"/>
      <c r="M77" s="887"/>
      <c r="N77" s="887"/>
      <c r="O77" s="887"/>
      <c r="P77" s="887"/>
      <c r="Q77" s="887"/>
      <c r="R77" s="887"/>
      <c r="S77" s="887"/>
      <c r="T77" s="887"/>
      <c r="U77" s="887"/>
      <c r="V77" s="887"/>
      <c r="W77" s="887"/>
      <c r="X77" s="888"/>
      <c r="Y77" s="521">
        <v>1</v>
      </c>
      <c r="Z77" s="522"/>
      <c r="AA77" s="523"/>
      <c r="AB77" s="513"/>
      <c r="AC77" s="514"/>
      <c r="AD77" s="889"/>
      <c r="AE77" s="890"/>
      <c r="AF77" s="890"/>
      <c r="AG77" s="890"/>
      <c r="AH77" s="891"/>
      <c r="AI77" s="982"/>
    </row>
    <row r="78" spans="1:35">
      <c r="A78" s="489"/>
      <c r="B78" s="490"/>
      <c r="C78" s="490"/>
      <c r="D78" s="490"/>
      <c r="E78" s="490"/>
      <c r="F78" s="490"/>
      <c r="G78" s="491"/>
      <c r="H78" s="498"/>
      <c r="I78" s="499"/>
      <c r="J78" s="500"/>
      <c r="K78" s="530" t="s">
        <v>150</v>
      </c>
      <c r="L78" s="887"/>
      <c r="M78" s="887"/>
      <c r="N78" s="887"/>
      <c r="O78" s="887"/>
      <c r="P78" s="887"/>
      <c r="Q78" s="887"/>
      <c r="R78" s="887"/>
      <c r="S78" s="887"/>
      <c r="T78" s="887"/>
      <c r="U78" s="887"/>
      <c r="V78" s="887"/>
      <c r="W78" s="887"/>
      <c r="X78" s="888"/>
      <c r="Y78" s="521">
        <v>1</v>
      </c>
      <c r="Z78" s="522"/>
      <c r="AA78" s="523"/>
      <c r="AB78" s="513">
        <v>1</v>
      </c>
      <c r="AC78" s="514"/>
      <c r="AD78" s="889"/>
      <c r="AE78" s="890"/>
      <c r="AF78" s="890"/>
      <c r="AG78" s="890"/>
      <c r="AH78" s="891"/>
      <c r="AI78" s="982"/>
    </row>
    <row r="79" spans="1:35">
      <c r="A79" s="489"/>
      <c r="B79" s="490"/>
      <c r="C79" s="490"/>
      <c r="D79" s="490"/>
      <c r="E79" s="490"/>
      <c r="F79" s="490"/>
      <c r="G79" s="491"/>
      <c r="H79" s="498"/>
      <c r="I79" s="499"/>
      <c r="J79" s="500"/>
      <c r="K79" s="530" t="s">
        <v>154</v>
      </c>
      <c r="L79" s="887"/>
      <c r="M79" s="887"/>
      <c r="N79" s="887"/>
      <c r="O79" s="887"/>
      <c r="P79" s="887"/>
      <c r="Q79" s="887"/>
      <c r="R79" s="887"/>
      <c r="S79" s="887"/>
      <c r="T79" s="887"/>
      <c r="U79" s="887"/>
      <c r="V79" s="887"/>
      <c r="W79" s="887"/>
      <c r="X79" s="888"/>
      <c r="Y79" s="521">
        <v>1</v>
      </c>
      <c r="Z79" s="522"/>
      <c r="AA79" s="523"/>
      <c r="AB79" s="513"/>
      <c r="AC79" s="514"/>
      <c r="AD79" s="889"/>
      <c r="AE79" s="890"/>
      <c r="AF79" s="890"/>
      <c r="AG79" s="890"/>
      <c r="AH79" s="891"/>
      <c r="AI79" s="982"/>
    </row>
    <row r="80" spans="1:35">
      <c r="A80" s="489"/>
      <c r="B80" s="490"/>
      <c r="C80" s="490"/>
      <c r="D80" s="490"/>
      <c r="E80" s="490"/>
      <c r="F80" s="490"/>
      <c r="G80" s="491"/>
      <c r="H80" s="498"/>
      <c r="I80" s="499"/>
      <c r="J80" s="500"/>
      <c r="K80" s="530" t="s">
        <v>154</v>
      </c>
      <c r="L80" s="887"/>
      <c r="M80" s="887"/>
      <c r="N80" s="887"/>
      <c r="O80" s="887"/>
      <c r="P80" s="887"/>
      <c r="Q80" s="887"/>
      <c r="R80" s="887"/>
      <c r="S80" s="887"/>
      <c r="T80" s="887"/>
      <c r="U80" s="887"/>
      <c r="V80" s="887"/>
      <c r="W80" s="887"/>
      <c r="X80" s="888"/>
      <c r="Y80" s="521">
        <v>1</v>
      </c>
      <c r="Z80" s="522"/>
      <c r="AA80" s="523"/>
      <c r="AB80" s="513"/>
      <c r="AC80" s="514"/>
      <c r="AD80" s="883"/>
      <c r="AE80" s="884"/>
      <c r="AF80" s="884"/>
      <c r="AG80" s="884"/>
      <c r="AH80" s="885"/>
      <c r="AI80" s="982"/>
    </row>
    <row r="81" spans="1:44">
      <c r="A81" s="489"/>
      <c r="B81" s="490"/>
      <c r="C81" s="490"/>
      <c r="D81" s="490"/>
      <c r="E81" s="490"/>
      <c r="F81" s="490"/>
      <c r="G81" s="491"/>
      <c r="H81" s="498"/>
      <c r="I81" s="499"/>
      <c r="J81" s="500"/>
      <c r="K81" s="530" t="s">
        <v>154</v>
      </c>
      <c r="L81" s="887"/>
      <c r="M81" s="887"/>
      <c r="N81" s="887"/>
      <c r="O81" s="887"/>
      <c r="P81" s="887"/>
      <c r="Q81" s="887"/>
      <c r="R81" s="887"/>
      <c r="S81" s="887"/>
      <c r="T81" s="887"/>
      <c r="U81" s="887"/>
      <c r="V81" s="887"/>
      <c r="W81" s="887"/>
      <c r="X81" s="888"/>
      <c r="Y81" s="521">
        <v>1</v>
      </c>
      <c r="Z81" s="522"/>
      <c r="AA81" s="523"/>
      <c r="AB81" s="513">
        <v>1</v>
      </c>
      <c r="AC81" s="514"/>
      <c r="AD81" s="883"/>
      <c r="AE81" s="884"/>
      <c r="AF81" s="884"/>
      <c r="AG81" s="884"/>
      <c r="AH81" s="885"/>
      <c r="AI81" s="982"/>
    </row>
    <row r="82" spans="1:44">
      <c r="A82" s="489"/>
      <c r="B82" s="490"/>
      <c r="C82" s="490"/>
      <c r="D82" s="490"/>
      <c r="E82" s="490"/>
      <c r="F82" s="490"/>
      <c r="G82" s="491"/>
      <c r="H82" s="498"/>
      <c r="I82" s="499"/>
      <c r="J82" s="500"/>
      <c r="K82" s="408" t="s">
        <v>154</v>
      </c>
      <c r="L82" s="914"/>
      <c r="M82" s="914"/>
      <c r="N82" s="914"/>
      <c r="O82" s="914"/>
      <c r="P82" s="914"/>
      <c r="Q82" s="914"/>
      <c r="R82" s="914"/>
      <c r="S82" s="914"/>
      <c r="T82" s="914"/>
      <c r="U82" s="914"/>
      <c r="V82" s="914"/>
      <c r="W82" s="914"/>
      <c r="X82" s="878"/>
      <c r="Y82" s="521">
        <v>1</v>
      </c>
      <c r="Z82" s="522"/>
      <c r="AA82" s="523"/>
      <c r="AB82" s="513">
        <v>1</v>
      </c>
      <c r="AC82" s="514"/>
      <c r="AD82" s="883"/>
      <c r="AE82" s="884"/>
      <c r="AF82" s="884"/>
      <c r="AG82" s="884"/>
      <c r="AH82" s="885"/>
      <c r="AI82" s="982"/>
    </row>
    <row r="83" spans="1:44">
      <c r="A83" s="489"/>
      <c r="B83" s="490"/>
      <c r="C83" s="490"/>
      <c r="D83" s="490"/>
      <c r="E83" s="490"/>
      <c r="F83" s="490"/>
      <c r="G83" s="491"/>
      <c r="H83" s="498"/>
      <c r="I83" s="499"/>
      <c r="J83" s="500"/>
      <c r="K83" s="530" t="s">
        <v>133</v>
      </c>
      <c r="L83" s="531"/>
      <c r="M83" s="531"/>
      <c r="N83" s="531"/>
      <c r="O83" s="531"/>
      <c r="P83" s="531"/>
      <c r="Q83" s="531"/>
      <c r="R83" s="531"/>
      <c r="S83" s="531"/>
      <c r="T83" s="531"/>
      <c r="U83" s="531"/>
      <c r="V83" s="531"/>
      <c r="W83" s="531"/>
      <c r="X83" s="878"/>
      <c r="Y83" s="521">
        <v>1</v>
      </c>
      <c r="Z83" s="522"/>
      <c r="AA83" s="523"/>
      <c r="AB83" s="513"/>
      <c r="AC83" s="514"/>
      <c r="AD83" s="889"/>
      <c r="AE83" s="890"/>
      <c r="AF83" s="890"/>
      <c r="AG83" s="890"/>
      <c r="AH83" s="891"/>
      <c r="AI83" s="982"/>
    </row>
    <row r="84" spans="1:44">
      <c r="A84" s="489"/>
      <c r="B84" s="490"/>
      <c r="C84" s="490"/>
      <c r="D84" s="490"/>
      <c r="E84" s="490"/>
      <c r="F84" s="490"/>
      <c r="G84" s="491"/>
      <c r="H84" s="498"/>
      <c r="I84" s="499"/>
      <c r="J84" s="500"/>
      <c r="K84" s="530" t="s">
        <v>133</v>
      </c>
      <c r="L84" s="531"/>
      <c r="M84" s="531"/>
      <c r="N84" s="531"/>
      <c r="O84" s="531"/>
      <c r="P84" s="531"/>
      <c r="Q84" s="531"/>
      <c r="R84" s="531"/>
      <c r="S84" s="531"/>
      <c r="T84" s="531"/>
      <c r="U84" s="531"/>
      <c r="V84" s="531"/>
      <c r="W84" s="531"/>
      <c r="X84" s="878"/>
      <c r="Y84" s="521">
        <v>1</v>
      </c>
      <c r="Z84" s="522"/>
      <c r="AA84" s="523"/>
      <c r="AB84" s="513"/>
      <c r="AC84" s="514"/>
      <c r="AD84" s="889"/>
      <c r="AE84" s="890"/>
      <c r="AF84" s="890"/>
      <c r="AG84" s="890"/>
      <c r="AH84" s="891"/>
      <c r="AI84" s="982"/>
    </row>
    <row r="85" spans="1:44">
      <c r="A85" s="489"/>
      <c r="B85" s="490"/>
      <c r="C85" s="490"/>
      <c r="D85" s="490"/>
      <c r="E85" s="490"/>
      <c r="F85" s="490"/>
      <c r="G85" s="491"/>
      <c r="H85" s="498"/>
      <c r="I85" s="499"/>
      <c r="J85" s="500"/>
      <c r="K85" s="530" t="s">
        <v>133</v>
      </c>
      <c r="L85" s="531"/>
      <c r="M85" s="531"/>
      <c r="N85" s="531"/>
      <c r="O85" s="531"/>
      <c r="P85" s="531"/>
      <c r="Q85" s="531"/>
      <c r="R85" s="531"/>
      <c r="S85" s="531"/>
      <c r="T85" s="531"/>
      <c r="U85" s="531"/>
      <c r="V85" s="531"/>
      <c r="W85" s="531"/>
      <c r="X85" s="878"/>
      <c r="Y85" s="521">
        <v>1</v>
      </c>
      <c r="Z85" s="522"/>
      <c r="AA85" s="523"/>
      <c r="AB85" s="513"/>
      <c r="AC85" s="514"/>
      <c r="AD85" s="889"/>
      <c r="AE85" s="890"/>
      <c r="AF85" s="890"/>
      <c r="AG85" s="890"/>
      <c r="AH85" s="891"/>
      <c r="AI85" s="982"/>
    </row>
    <row r="86" spans="1:44">
      <c r="A86" s="489"/>
      <c r="B86" s="490"/>
      <c r="C86" s="490"/>
      <c r="D86" s="490"/>
      <c r="E86" s="490"/>
      <c r="F86" s="490"/>
      <c r="G86" s="491"/>
      <c r="H86" s="498"/>
      <c r="I86" s="499"/>
      <c r="J86" s="500"/>
      <c r="K86" s="530" t="s">
        <v>155</v>
      </c>
      <c r="L86" s="531"/>
      <c r="M86" s="531"/>
      <c r="N86" s="531"/>
      <c r="O86" s="531"/>
      <c r="P86" s="531"/>
      <c r="Q86" s="531"/>
      <c r="R86" s="531"/>
      <c r="S86" s="531"/>
      <c r="T86" s="531"/>
      <c r="U86" s="531"/>
      <c r="V86" s="531"/>
      <c r="W86" s="531"/>
      <c r="X86" s="408"/>
      <c r="Y86" s="521">
        <v>1</v>
      </c>
      <c r="Z86" s="522"/>
      <c r="AA86" s="523"/>
      <c r="AB86" s="782"/>
      <c r="AC86" s="782"/>
      <c r="AD86" s="883"/>
      <c r="AE86" s="884"/>
      <c r="AF86" s="884"/>
      <c r="AG86" s="884"/>
      <c r="AH86" s="885"/>
      <c r="AI86" s="982"/>
    </row>
    <row r="87" spans="1:44">
      <c r="A87" s="489"/>
      <c r="B87" s="490"/>
      <c r="C87" s="490"/>
      <c r="D87" s="490"/>
      <c r="E87" s="490"/>
      <c r="F87" s="490"/>
      <c r="G87" s="491"/>
      <c r="H87" s="498"/>
      <c r="I87" s="499"/>
      <c r="J87" s="500"/>
      <c r="K87" s="530" t="s">
        <v>156</v>
      </c>
      <c r="L87" s="531"/>
      <c r="M87" s="531"/>
      <c r="N87" s="531"/>
      <c r="O87" s="531"/>
      <c r="P87" s="531"/>
      <c r="Q87" s="531"/>
      <c r="R87" s="531"/>
      <c r="S87" s="531"/>
      <c r="T87" s="531"/>
      <c r="U87" s="531"/>
      <c r="V87" s="531"/>
      <c r="W87" s="531"/>
      <c r="X87" s="878"/>
      <c r="Y87" s="521">
        <v>1</v>
      </c>
      <c r="Z87" s="522"/>
      <c r="AA87" s="523"/>
      <c r="AB87" s="513"/>
      <c r="AC87" s="514"/>
      <c r="AD87" s="915"/>
      <c r="AE87" s="916"/>
      <c r="AF87" s="916"/>
      <c r="AG87" s="916"/>
      <c r="AH87" s="917"/>
      <c r="AI87" s="982"/>
    </row>
    <row r="88" spans="1:44">
      <c r="A88" s="489"/>
      <c r="B88" s="490"/>
      <c r="C88" s="490"/>
      <c r="D88" s="490"/>
      <c r="E88" s="490"/>
      <c r="F88" s="490"/>
      <c r="G88" s="491"/>
      <c r="H88" s="498"/>
      <c r="I88" s="499"/>
      <c r="J88" s="500"/>
      <c r="K88" s="530" t="s">
        <v>156</v>
      </c>
      <c r="L88" s="887"/>
      <c r="M88" s="887"/>
      <c r="N88" s="887"/>
      <c r="O88" s="887"/>
      <c r="P88" s="887"/>
      <c r="Q88" s="887"/>
      <c r="R88" s="887"/>
      <c r="S88" s="887"/>
      <c r="T88" s="887"/>
      <c r="U88" s="887"/>
      <c r="V88" s="887"/>
      <c r="W88" s="887"/>
      <c r="X88" s="888"/>
      <c r="Y88" s="521">
        <v>1</v>
      </c>
      <c r="Z88" s="522"/>
      <c r="AA88" s="523"/>
      <c r="AB88" s="513"/>
      <c r="AC88" s="514"/>
      <c r="AD88" s="889"/>
      <c r="AE88" s="890"/>
      <c r="AF88" s="890"/>
      <c r="AG88" s="890"/>
      <c r="AH88" s="891"/>
      <c r="AI88" s="982"/>
    </row>
    <row r="89" spans="1:44" ht="15.75" thickBot="1">
      <c r="A89" s="492"/>
      <c r="B89" s="493"/>
      <c r="C89" s="493"/>
      <c r="D89" s="493"/>
      <c r="E89" s="493"/>
      <c r="F89" s="493"/>
      <c r="G89" s="494"/>
      <c r="H89" s="501"/>
      <c r="I89" s="502"/>
      <c r="J89" s="503"/>
      <c r="K89" s="530" t="s">
        <v>156</v>
      </c>
      <c r="L89" s="531"/>
      <c r="M89" s="531"/>
      <c r="N89" s="531"/>
      <c r="O89" s="531"/>
      <c r="P89" s="531"/>
      <c r="Q89" s="531"/>
      <c r="R89" s="531"/>
      <c r="S89" s="531"/>
      <c r="T89" s="531"/>
      <c r="U89" s="531"/>
      <c r="V89" s="531"/>
      <c r="W89" s="531"/>
      <c r="X89" s="878"/>
      <c r="Y89" s="521">
        <v>1</v>
      </c>
      <c r="Z89" s="522"/>
      <c r="AA89" s="523"/>
      <c r="AB89" s="513"/>
      <c r="AC89" s="514"/>
      <c r="AD89" s="889"/>
      <c r="AE89" s="890"/>
      <c r="AF89" s="890"/>
      <c r="AG89" s="890"/>
      <c r="AH89" s="891"/>
      <c r="AI89" s="982"/>
    </row>
    <row r="90" spans="1:44">
      <c r="A90" s="341"/>
      <c r="B90" s="342"/>
      <c r="C90" s="342"/>
      <c r="D90" s="342"/>
      <c r="E90" s="342"/>
      <c r="F90" s="342"/>
      <c r="G90" s="343"/>
      <c r="H90" s="979"/>
      <c r="I90" s="344"/>
      <c r="J90" s="344"/>
      <c r="K90" s="918"/>
      <c r="L90" s="919"/>
      <c r="M90" s="919"/>
      <c r="N90" s="919"/>
      <c r="O90" s="919"/>
      <c r="P90" s="919"/>
      <c r="Q90" s="919"/>
      <c r="R90" s="919"/>
      <c r="S90" s="919"/>
      <c r="T90" s="919"/>
      <c r="U90" s="919"/>
      <c r="V90" s="919"/>
      <c r="W90" s="919"/>
      <c r="X90" s="920"/>
      <c r="Y90" s="796"/>
      <c r="Z90" s="796"/>
      <c r="AA90" s="796"/>
      <c r="AB90" s="348"/>
      <c r="AC90" s="349"/>
      <c r="AD90" s="921"/>
      <c r="AE90" s="922"/>
      <c r="AF90" s="922"/>
      <c r="AG90" s="922"/>
      <c r="AH90" s="923"/>
      <c r="AI90" s="982"/>
    </row>
    <row r="91" spans="1:44" ht="15.75" thickBot="1">
      <c r="A91" s="357"/>
      <c r="B91" s="358"/>
      <c r="C91" s="358"/>
      <c r="D91" s="358"/>
      <c r="E91" s="358"/>
      <c r="F91" s="358"/>
      <c r="G91" s="359"/>
      <c r="H91" s="988"/>
      <c r="I91" s="270"/>
      <c r="J91" s="270"/>
      <c r="K91" s="924"/>
      <c r="L91" s="925"/>
      <c r="M91" s="925"/>
      <c r="N91" s="925"/>
      <c r="O91" s="925"/>
      <c r="P91" s="925"/>
      <c r="Q91" s="925"/>
      <c r="R91" s="925"/>
      <c r="S91" s="925"/>
      <c r="T91" s="925"/>
      <c r="U91" s="925"/>
      <c r="V91" s="925"/>
      <c r="W91" s="925"/>
      <c r="X91" s="926"/>
      <c r="Y91" s="797"/>
      <c r="Z91" s="797"/>
      <c r="AA91" s="797"/>
      <c r="AB91" s="363"/>
      <c r="AC91" s="364"/>
      <c r="AD91" s="927"/>
      <c r="AE91" s="928"/>
      <c r="AF91" s="928"/>
      <c r="AG91" s="928"/>
      <c r="AH91" s="929"/>
      <c r="AI91" s="982"/>
    </row>
    <row r="92" spans="1:44">
      <c r="A92" s="803" t="s">
        <v>160</v>
      </c>
      <c r="B92" s="804"/>
      <c r="C92" s="804"/>
      <c r="D92" s="804"/>
      <c r="E92" s="804"/>
      <c r="F92" s="804"/>
      <c r="G92" s="805"/>
      <c r="H92" s="812" t="s">
        <v>161</v>
      </c>
      <c r="I92" s="813"/>
      <c r="J92" s="814"/>
      <c r="K92" s="821" t="s">
        <v>162</v>
      </c>
      <c r="L92" s="821"/>
      <c r="M92" s="821"/>
      <c r="N92" s="821"/>
      <c r="O92" s="821"/>
      <c r="P92" s="821"/>
      <c r="Q92" s="821"/>
      <c r="R92" s="821"/>
      <c r="S92" s="821"/>
      <c r="T92" s="821"/>
      <c r="U92" s="821"/>
      <c r="V92" s="821"/>
      <c r="W92" s="821"/>
      <c r="X92" s="220"/>
      <c r="Y92" s="822">
        <v>1</v>
      </c>
      <c r="Z92" s="822"/>
      <c r="AA92" s="822"/>
      <c r="AB92" s="793">
        <v>1</v>
      </c>
      <c r="AC92" s="793"/>
      <c r="AD92" s="794"/>
      <c r="AE92" s="794"/>
      <c r="AF92" s="794"/>
      <c r="AG92" s="794"/>
      <c r="AH92" s="795"/>
      <c r="AI92" s="982"/>
    </row>
    <row r="93" spans="1:44" ht="30" customHeight="1">
      <c r="A93" s="806"/>
      <c r="B93" s="807"/>
      <c r="C93" s="807"/>
      <c r="D93" s="807"/>
      <c r="E93" s="807"/>
      <c r="F93" s="807"/>
      <c r="G93" s="808"/>
      <c r="H93" s="815"/>
      <c r="I93" s="816"/>
      <c r="J93" s="817"/>
      <c r="K93" s="798" t="s">
        <v>163</v>
      </c>
      <c r="L93" s="798"/>
      <c r="M93" s="798"/>
      <c r="N93" s="798"/>
      <c r="O93" s="798"/>
      <c r="P93" s="798"/>
      <c r="Q93" s="798"/>
      <c r="R93" s="798"/>
      <c r="S93" s="798"/>
      <c r="T93" s="798"/>
      <c r="U93" s="798"/>
      <c r="V93" s="798"/>
      <c r="W93" s="798"/>
      <c r="X93" s="221"/>
      <c r="Y93" s="799">
        <v>1</v>
      </c>
      <c r="Z93" s="799"/>
      <c r="AA93" s="799"/>
      <c r="AB93" s="800">
        <v>1</v>
      </c>
      <c r="AC93" s="800"/>
      <c r="AD93" s="801"/>
      <c r="AE93" s="801"/>
      <c r="AF93" s="801"/>
      <c r="AG93" s="801"/>
      <c r="AH93" s="802"/>
      <c r="AI93" s="982"/>
    </row>
    <row r="94" spans="1:44" ht="42" customHeight="1">
      <c r="A94" s="806"/>
      <c r="B94" s="807"/>
      <c r="C94" s="807"/>
      <c r="D94" s="807"/>
      <c r="E94" s="807"/>
      <c r="F94" s="807"/>
      <c r="G94" s="808"/>
      <c r="H94" s="815"/>
      <c r="I94" s="816"/>
      <c r="J94" s="817"/>
      <c r="K94" s="798" t="s">
        <v>164</v>
      </c>
      <c r="L94" s="798"/>
      <c r="M94" s="798"/>
      <c r="N94" s="798"/>
      <c r="O94" s="798"/>
      <c r="P94" s="798"/>
      <c r="Q94" s="798"/>
      <c r="R94" s="798"/>
      <c r="S94" s="798"/>
      <c r="T94" s="798"/>
      <c r="U94" s="798"/>
      <c r="V94" s="798"/>
      <c r="W94" s="798"/>
      <c r="X94" s="221"/>
      <c r="Y94" s="799">
        <v>1</v>
      </c>
      <c r="Z94" s="799"/>
      <c r="AA94" s="799"/>
      <c r="AB94" s="800">
        <v>1</v>
      </c>
      <c r="AC94" s="800"/>
      <c r="AD94" s="801"/>
      <c r="AE94" s="801"/>
      <c r="AF94" s="801"/>
      <c r="AG94" s="801"/>
      <c r="AH94" s="802"/>
      <c r="AI94" s="983"/>
      <c r="AJ94" s="409"/>
      <c r="AK94" s="409"/>
      <c r="AL94" s="409"/>
      <c r="AM94" s="409"/>
    </row>
    <row r="95" spans="1:44" ht="53.25" customHeight="1" thickBot="1">
      <c r="A95" s="809"/>
      <c r="B95" s="810"/>
      <c r="C95" s="810"/>
      <c r="D95" s="810"/>
      <c r="E95" s="810"/>
      <c r="F95" s="810"/>
      <c r="G95" s="811"/>
      <c r="H95" s="818"/>
      <c r="I95" s="819"/>
      <c r="J95" s="820"/>
      <c r="K95" s="823" t="s">
        <v>165</v>
      </c>
      <c r="L95" s="823"/>
      <c r="M95" s="823"/>
      <c r="N95" s="823"/>
      <c r="O95" s="823"/>
      <c r="P95" s="823"/>
      <c r="Q95" s="823"/>
      <c r="R95" s="823"/>
      <c r="S95" s="823"/>
      <c r="T95" s="823"/>
      <c r="U95" s="823"/>
      <c r="V95" s="823"/>
      <c r="W95" s="823"/>
      <c r="X95" s="222"/>
      <c r="Y95" s="824">
        <v>1</v>
      </c>
      <c r="Z95" s="824"/>
      <c r="AA95" s="824"/>
      <c r="AB95" s="825">
        <v>1</v>
      </c>
      <c r="AC95" s="825"/>
      <c r="AD95" s="826"/>
      <c r="AE95" s="826"/>
      <c r="AF95" s="826"/>
      <c r="AG95" s="826"/>
      <c r="AH95" s="827"/>
      <c r="AI95" s="983"/>
      <c r="AJ95" s="409"/>
      <c r="AK95" s="409"/>
      <c r="AL95" s="409"/>
      <c r="AM95" s="409"/>
    </row>
    <row r="96" spans="1:44" ht="15.75" thickBot="1">
      <c r="A96" s="419"/>
      <c r="B96" s="411"/>
      <c r="C96" s="411"/>
      <c r="D96" s="411"/>
      <c r="E96" s="411"/>
      <c r="F96" s="411"/>
      <c r="G96" s="411"/>
      <c r="H96" s="411"/>
      <c r="I96" s="411"/>
      <c r="J96" s="411"/>
      <c r="K96" s="411"/>
      <c r="L96" s="411"/>
      <c r="M96" s="411"/>
      <c r="N96" s="411"/>
      <c r="O96" s="411"/>
      <c r="P96" s="411"/>
      <c r="Q96" s="411"/>
      <c r="R96" s="411"/>
      <c r="S96" s="411"/>
      <c r="T96" s="411"/>
      <c r="U96" s="411"/>
      <c r="V96" s="411"/>
      <c r="W96" s="224" t="s">
        <v>166</v>
      </c>
      <c r="X96" s="422"/>
      <c r="Y96" s="835">
        <f>SUM(Y17:AA95)</f>
        <v>75</v>
      </c>
      <c r="Z96" s="836"/>
      <c r="AA96" s="836"/>
      <c r="AB96" s="930">
        <f>SUM(AB17:AB95)</f>
        <v>22</v>
      </c>
      <c r="AC96" s="934"/>
      <c r="AD96" s="931"/>
      <c r="AE96" s="932"/>
      <c r="AF96" s="932"/>
      <c r="AG96" s="932"/>
      <c r="AH96" s="933"/>
      <c r="AI96" s="409"/>
      <c r="AJ96" s="409"/>
      <c r="AK96" s="409"/>
      <c r="AL96" s="409"/>
      <c r="AM96" s="409"/>
      <c r="AN96" s="227"/>
      <c r="AO96" s="425"/>
      <c r="AP96" s="373"/>
      <c r="AQ96" s="373"/>
      <c r="AR96" s="373"/>
    </row>
    <row r="97" spans="1:44">
      <c r="A97" s="409"/>
      <c r="B97" s="409"/>
      <c r="C97" s="409"/>
      <c r="D97" s="409"/>
      <c r="E97" s="409"/>
      <c r="F97" s="409"/>
      <c r="G97" s="409"/>
      <c r="H97" s="409"/>
      <c r="I97" s="409"/>
      <c r="J97" s="409"/>
      <c r="K97" s="409"/>
      <c r="L97" s="409"/>
      <c r="M97" s="409"/>
      <c r="N97" s="409"/>
      <c r="O97" s="409"/>
      <c r="P97" s="409"/>
      <c r="Q97" s="409"/>
      <c r="R97" s="409"/>
      <c r="S97" s="409"/>
      <c r="T97" s="409"/>
      <c r="U97" s="409"/>
      <c r="V97" s="409"/>
      <c r="W97" s="409"/>
      <c r="X97" s="409"/>
      <c r="Y97" s="409"/>
      <c r="Z97" s="409"/>
      <c r="AA97" s="409"/>
      <c r="AB97" s="409"/>
      <c r="AC97" s="409"/>
      <c r="AD97" s="409"/>
      <c r="AE97" s="409"/>
      <c r="AF97" s="409"/>
      <c r="AG97" s="409"/>
      <c r="AH97" s="409"/>
      <c r="AI97" s="177"/>
      <c r="AJ97" s="409"/>
      <c r="AK97" s="409"/>
      <c r="AL97" s="409"/>
      <c r="AM97" s="409"/>
      <c r="AN97" s="409"/>
      <c r="AO97" s="569"/>
      <c r="AP97" s="569"/>
      <c r="AQ97" s="569"/>
      <c r="AR97" s="569"/>
    </row>
    <row r="98" spans="1:44">
      <c r="A98" s="409"/>
      <c r="B98" s="409"/>
      <c r="C98" s="409"/>
      <c r="D98" s="409"/>
      <c r="E98" s="409"/>
      <c r="F98" s="409"/>
      <c r="G98" s="409"/>
      <c r="H98" s="409"/>
      <c r="I98" s="409"/>
      <c r="J98" s="409"/>
      <c r="K98" s="409"/>
      <c r="L98" s="409"/>
      <c r="M98" s="409"/>
      <c r="N98" s="409"/>
      <c r="O98" s="409"/>
      <c r="P98" s="409"/>
      <c r="Q98" s="409"/>
      <c r="R98" s="409"/>
      <c r="S98" s="409"/>
      <c r="T98" s="409"/>
      <c r="U98" s="409"/>
      <c r="V98" s="409"/>
      <c r="W98" s="409"/>
      <c r="X98" s="409"/>
      <c r="Y98" s="409"/>
      <c r="Z98" s="409"/>
      <c r="AA98" s="409"/>
      <c r="AB98" s="409"/>
      <c r="AC98" s="409"/>
      <c r="AD98" s="409"/>
      <c r="AE98" s="409"/>
      <c r="AF98" s="409"/>
      <c r="AG98" s="409"/>
      <c r="AH98" s="409"/>
      <c r="AI98" s="177"/>
      <c r="AJ98" s="409"/>
      <c r="AK98" s="409"/>
      <c r="AL98" s="409"/>
      <c r="AM98" s="409"/>
      <c r="AN98" s="409"/>
      <c r="AO98" s="554"/>
      <c r="AP98" s="554"/>
      <c r="AQ98" s="554"/>
      <c r="AR98" s="554"/>
    </row>
    <row r="99" spans="1:44">
      <c r="A99" s="409"/>
      <c r="B99" s="409"/>
      <c r="C99" s="409"/>
      <c r="D99" s="409"/>
      <c r="E99" s="409"/>
      <c r="F99" s="409"/>
      <c r="G99" s="409"/>
      <c r="H99" s="409"/>
      <c r="I99" s="409"/>
      <c r="J99" s="409"/>
      <c r="K99" s="409"/>
      <c r="L99" s="409"/>
      <c r="M99" s="409"/>
      <c r="N99" s="409"/>
      <c r="O99" s="409"/>
      <c r="P99" s="409"/>
      <c r="Q99" s="409"/>
      <c r="R99" s="409"/>
      <c r="S99" s="409"/>
      <c r="T99" s="409"/>
      <c r="U99" s="409"/>
      <c r="V99" s="409"/>
      <c r="W99" s="409"/>
      <c r="X99" s="409"/>
      <c r="Y99" s="409"/>
      <c r="Z99" s="409"/>
      <c r="AA99" s="409"/>
      <c r="AB99" s="409"/>
      <c r="AC99" s="409"/>
      <c r="AD99" s="409"/>
      <c r="AE99" s="409"/>
      <c r="AF99" s="409"/>
      <c r="AG99" s="409"/>
      <c r="AH99" s="409"/>
      <c r="AI99" s="177"/>
      <c r="AJ99" s="409"/>
      <c r="AK99" s="409"/>
      <c r="AL99" s="409"/>
      <c r="AM99" s="409"/>
      <c r="AN99" s="409"/>
      <c r="AO99" s="409"/>
      <c r="AP99" s="409"/>
      <c r="AQ99" s="409"/>
      <c r="AR99" s="234"/>
    </row>
    <row r="100" spans="1:44">
      <c r="A100" s="229"/>
      <c r="B100" s="409"/>
      <c r="C100" s="409"/>
      <c r="D100" s="425"/>
      <c r="E100" s="177"/>
      <c r="F100" s="177"/>
      <c r="G100" s="177"/>
      <c r="H100" s="177"/>
      <c r="I100" s="177"/>
      <c r="J100" s="177"/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410"/>
      <c r="AA100" s="229"/>
      <c r="AB100" s="177"/>
      <c r="AC100" s="177"/>
      <c r="AD100" s="177"/>
      <c r="AE100" s="177"/>
      <c r="AF100" s="177"/>
      <c r="AG100" s="177"/>
      <c r="AH100" s="177"/>
      <c r="AI100" s="177"/>
      <c r="AJ100" s="409"/>
      <c r="AK100" s="409"/>
      <c r="AL100" s="409"/>
      <c r="AM100" s="409"/>
      <c r="AN100" s="409"/>
      <c r="AO100" s="409"/>
      <c r="AP100" s="411"/>
      <c r="AQ100" s="411"/>
      <c r="AR100" s="234"/>
    </row>
    <row r="101" spans="1:44">
      <c r="A101" s="409"/>
      <c r="B101" s="409"/>
      <c r="C101" s="409"/>
      <c r="D101" s="177"/>
      <c r="E101" s="177"/>
      <c r="F101" s="177"/>
      <c r="G101" s="177"/>
      <c r="H101" s="425"/>
      <c r="I101" s="425"/>
      <c r="J101" s="425"/>
      <c r="K101" s="425"/>
      <c r="L101" s="425"/>
      <c r="M101" s="425"/>
      <c r="N101" s="425"/>
      <c r="O101" s="425"/>
      <c r="P101" s="425"/>
      <c r="Q101" s="425"/>
      <c r="R101" s="425"/>
      <c r="S101" s="425"/>
      <c r="T101" s="425"/>
      <c r="U101" s="425"/>
      <c r="V101" s="425"/>
      <c r="W101" s="425"/>
      <c r="X101" s="425"/>
      <c r="Y101" s="425"/>
      <c r="Z101" s="177"/>
      <c r="AA101" s="425"/>
      <c r="AB101" s="425"/>
      <c r="AC101" s="425"/>
      <c r="AD101" s="425"/>
      <c r="AE101" s="425"/>
      <c r="AF101" s="177"/>
      <c r="AG101" s="177"/>
      <c r="AH101" s="231"/>
      <c r="AI101" s="177"/>
      <c r="AJ101" s="409"/>
      <c r="AK101" s="409"/>
      <c r="AL101" s="409"/>
      <c r="AM101" s="409"/>
      <c r="AN101" s="409"/>
      <c r="AO101" s="237"/>
      <c r="AP101" s="238"/>
      <c r="AQ101" s="238"/>
      <c r="AR101" s="239"/>
    </row>
    <row r="102" spans="1:44">
      <c r="A102" s="409"/>
      <c r="B102" s="409"/>
      <c r="C102" s="409"/>
      <c r="D102" s="177"/>
      <c r="E102" s="177"/>
      <c r="F102" s="177"/>
      <c r="G102" s="177"/>
      <c r="H102" s="425"/>
      <c r="I102" s="425"/>
      <c r="J102" s="425"/>
      <c r="K102" s="425"/>
      <c r="L102" s="425"/>
      <c r="M102" s="425"/>
      <c r="N102" s="425"/>
      <c r="O102" s="425"/>
      <c r="P102" s="425"/>
      <c r="Q102" s="425"/>
      <c r="R102" s="425"/>
      <c r="S102" s="425"/>
      <c r="T102" s="425"/>
      <c r="U102" s="425"/>
      <c r="V102" s="425"/>
      <c r="W102" s="425"/>
      <c r="X102" s="425"/>
      <c r="Y102" s="425"/>
      <c r="Z102" s="175"/>
      <c r="AA102" s="425"/>
      <c r="AB102" s="425"/>
      <c r="AC102" s="425"/>
      <c r="AD102" s="425"/>
      <c r="AE102" s="425"/>
      <c r="AF102" s="177"/>
      <c r="AG102" s="177"/>
      <c r="AH102" s="177"/>
      <c r="AI102" s="177"/>
      <c r="AJ102" s="409"/>
      <c r="AK102" s="409"/>
      <c r="AL102" s="409"/>
      <c r="AM102" s="409"/>
      <c r="AN102" s="409"/>
      <c r="AO102" s="238"/>
      <c r="AP102" s="240"/>
      <c r="AQ102" s="240"/>
      <c r="AR102" s="241"/>
    </row>
    <row r="103" spans="1:44">
      <c r="A103" s="235" t="s">
        <v>168</v>
      </c>
      <c r="B103" s="235"/>
      <c r="C103" s="235"/>
      <c r="D103" s="235"/>
      <c r="E103" s="235"/>
      <c r="F103" s="235"/>
      <c r="G103" s="235"/>
      <c r="H103" s="235"/>
      <c r="I103" s="235"/>
      <c r="J103" s="235"/>
      <c r="K103" s="235"/>
      <c r="L103" s="235"/>
      <c r="M103" s="235"/>
      <c r="N103" s="235"/>
      <c r="O103" s="235"/>
      <c r="P103" s="235"/>
      <c r="Q103" s="235"/>
      <c r="R103" s="235"/>
      <c r="S103" s="235"/>
      <c r="T103" s="235"/>
      <c r="U103" s="235"/>
      <c r="V103" s="235"/>
      <c r="W103" s="235"/>
      <c r="X103" s="235"/>
      <c r="Y103" s="235"/>
      <c r="Z103" s="410"/>
      <c r="AA103" s="235"/>
      <c r="AB103" s="235"/>
      <c r="AC103" s="235"/>
      <c r="AD103" s="235"/>
      <c r="AE103" s="235"/>
      <c r="AF103" s="177"/>
      <c r="AG103" s="177"/>
      <c r="AH103" s="177"/>
    </row>
    <row r="104" spans="1:44">
      <c r="A104" s="409"/>
      <c r="B104" s="409"/>
      <c r="C104" s="409"/>
      <c r="D104" s="177"/>
      <c r="E104" s="177"/>
      <c r="F104" s="425"/>
      <c r="G104" s="177"/>
      <c r="H104" s="177"/>
      <c r="I104" s="177"/>
      <c r="J104" s="177"/>
      <c r="K104" s="177"/>
      <c r="L104" s="177"/>
      <c r="M104" s="177"/>
      <c r="N104" s="177"/>
      <c r="O104" s="833"/>
      <c r="P104" s="833"/>
      <c r="Q104" s="833"/>
      <c r="R104" s="177"/>
      <c r="S104" s="177"/>
      <c r="T104" s="833"/>
      <c r="U104" s="833"/>
      <c r="V104" s="833"/>
      <c r="W104" s="177"/>
      <c r="X104" s="177"/>
      <c r="Y104" s="834"/>
      <c r="Z104" s="834"/>
      <c r="AA104" s="834"/>
      <c r="AB104" s="833"/>
      <c r="AC104" s="833"/>
      <c r="AD104" s="833"/>
      <c r="AE104" s="833"/>
      <c r="AF104" s="236"/>
      <c r="AG104" s="177"/>
      <c r="AH104" s="177"/>
    </row>
    <row r="105" spans="1:44">
      <c r="A105" s="235" t="s">
        <v>169</v>
      </c>
      <c r="B105" s="409"/>
      <c r="C105" s="409"/>
      <c r="D105" s="177"/>
      <c r="E105" s="177"/>
      <c r="F105" s="177"/>
      <c r="G105" s="177"/>
      <c r="H105" s="177"/>
      <c r="I105" s="177"/>
      <c r="J105" s="177"/>
      <c r="K105" s="177"/>
      <c r="L105" s="177"/>
      <c r="M105" s="177"/>
      <c r="N105" s="177"/>
      <c r="O105" s="236"/>
      <c r="P105" s="236"/>
      <c r="Q105" s="236"/>
      <c r="R105" s="177"/>
      <c r="S105" s="177"/>
      <c r="T105" s="236"/>
      <c r="U105" s="236"/>
      <c r="V105" s="236"/>
      <c r="W105" s="177"/>
      <c r="X105" s="177"/>
      <c r="Y105" s="177"/>
      <c r="Z105" s="410"/>
      <c r="AA105" s="177"/>
      <c r="AB105" s="236"/>
      <c r="AC105" s="236"/>
      <c r="AD105" s="236"/>
      <c r="AE105" s="236"/>
      <c r="AF105" s="177"/>
      <c r="AG105" s="177"/>
      <c r="AH105" s="177"/>
    </row>
  </sheetData>
  <mergeCells count="371">
    <mergeCell ref="K39:X39"/>
    <mergeCell ref="Y39:AA39"/>
    <mergeCell ref="AD39:AH39"/>
    <mergeCell ref="H42:I42"/>
    <mergeCell ref="AF1:AJ1"/>
    <mergeCell ref="A37:G39"/>
    <mergeCell ref="H37:J39"/>
    <mergeCell ref="K37:X37"/>
    <mergeCell ref="Y37:AA37"/>
    <mergeCell ref="AB37:AC37"/>
    <mergeCell ref="AD37:AH37"/>
    <mergeCell ref="K38:X38"/>
    <mergeCell ref="Y38:AA38"/>
    <mergeCell ref="AB38:AC38"/>
    <mergeCell ref="AD38:AH38"/>
    <mergeCell ref="AO98:AR98"/>
    <mergeCell ref="O104:Q104"/>
    <mergeCell ref="T104:V104"/>
    <mergeCell ref="Y104:AA104"/>
    <mergeCell ref="AB104:AC104"/>
    <mergeCell ref="AD104:AE104"/>
    <mergeCell ref="Y96:AA96"/>
    <mergeCell ref="AB96:AC96"/>
    <mergeCell ref="AD96:AH96"/>
    <mergeCell ref="AO97:AR97"/>
    <mergeCell ref="AB94:AC94"/>
    <mergeCell ref="AD94:AH94"/>
    <mergeCell ref="K95:W95"/>
    <mergeCell ref="Y95:AA95"/>
    <mergeCell ref="AB95:AC95"/>
    <mergeCell ref="AD95:AH95"/>
    <mergeCell ref="AB92:AC92"/>
    <mergeCell ref="AD92:AH92"/>
    <mergeCell ref="K93:W93"/>
    <mergeCell ref="Y93:AA93"/>
    <mergeCell ref="AB93:AC93"/>
    <mergeCell ref="AD93:AH93"/>
    <mergeCell ref="Y90:AA90"/>
    <mergeCell ref="Y91:AA91"/>
    <mergeCell ref="A92:G95"/>
    <mergeCell ref="H92:J95"/>
    <mergeCell ref="K92:W92"/>
    <mergeCell ref="Y92:AA92"/>
    <mergeCell ref="K94:W94"/>
    <mergeCell ref="Y94:AA94"/>
    <mergeCell ref="K89:W89"/>
    <mergeCell ref="Y89:AA89"/>
    <mergeCell ref="AB89:AC89"/>
    <mergeCell ref="AD89:AH89"/>
    <mergeCell ref="K88:X88"/>
    <mergeCell ref="Y88:AA88"/>
    <mergeCell ref="AB88:AC88"/>
    <mergeCell ref="AD88:AH88"/>
    <mergeCell ref="K87:W87"/>
    <mergeCell ref="Y87:AA87"/>
    <mergeCell ref="AB87:AC87"/>
    <mergeCell ref="AD87:AH87"/>
    <mergeCell ref="K86:W86"/>
    <mergeCell ref="Y86:AA86"/>
    <mergeCell ref="AB86:AC86"/>
    <mergeCell ref="AD86:AH86"/>
    <mergeCell ref="K85:W85"/>
    <mergeCell ref="Y85:AA85"/>
    <mergeCell ref="AB85:AC85"/>
    <mergeCell ref="AD85:AH85"/>
    <mergeCell ref="AD83:AH83"/>
    <mergeCell ref="K84:W84"/>
    <mergeCell ref="Y84:AA84"/>
    <mergeCell ref="AB84:AC84"/>
    <mergeCell ref="AD84:AH84"/>
    <mergeCell ref="Y82:AA82"/>
    <mergeCell ref="AB82:AC82"/>
    <mergeCell ref="AD82:AH82"/>
    <mergeCell ref="K83:W83"/>
    <mergeCell ref="Y83:AA83"/>
    <mergeCell ref="AB83:AC83"/>
    <mergeCell ref="K81:X81"/>
    <mergeCell ref="Y81:AA81"/>
    <mergeCell ref="AB81:AC81"/>
    <mergeCell ref="AD81:AH81"/>
    <mergeCell ref="K80:X80"/>
    <mergeCell ref="Y80:AA80"/>
    <mergeCell ref="AB80:AC80"/>
    <mergeCell ref="AD80:AH80"/>
    <mergeCell ref="K79:X79"/>
    <mergeCell ref="Y79:AA79"/>
    <mergeCell ref="AB79:AC79"/>
    <mergeCell ref="AD79:AH79"/>
    <mergeCell ref="AD77:AH77"/>
    <mergeCell ref="K78:X78"/>
    <mergeCell ref="Y78:AA78"/>
    <mergeCell ref="AB78:AC78"/>
    <mergeCell ref="AD78:AH78"/>
    <mergeCell ref="Y76:AA76"/>
    <mergeCell ref="AB76:AC76"/>
    <mergeCell ref="AD76:AH76"/>
    <mergeCell ref="K77:X77"/>
    <mergeCell ref="Y77:AA77"/>
    <mergeCell ref="AB77:AC77"/>
    <mergeCell ref="AD74:AH74"/>
    <mergeCell ref="A75:G89"/>
    <mergeCell ref="H75:J89"/>
    <mergeCell ref="K75:X75"/>
    <mergeCell ref="Y75:AA75"/>
    <mergeCell ref="AB75:AC75"/>
    <mergeCell ref="AD75:AH75"/>
    <mergeCell ref="K76:X76"/>
    <mergeCell ref="K73:X73"/>
    <mergeCell ref="Y73:AA73"/>
    <mergeCell ref="K74:X74"/>
    <mergeCell ref="Y74:AA74"/>
    <mergeCell ref="AB74:AC74"/>
    <mergeCell ref="K72:W72"/>
    <mergeCell ref="Y72:AA72"/>
    <mergeCell ref="AB72:AC72"/>
    <mergeCell ref="AD72:AH72"/>
    <mergeCell ref="K71:W71"/>
    <mergeCell ref="Y71:AA71"/>
    <mergeCell ref="AB71:AC71"/>
    <mergeCell ref="AD71:AH71"/>
    <mergeCell ref="K70:W70"/>
    <mergeCell ref="Y70:AA70"/>
    <mergeCell ref="AB70:AC70"/>
    <mergeCell ref="AD70:AH70"/>
    <mergeCell ref="K69:W69"/>
    <mergeCell ref="Y69:AA69"/>
    <mergeCell ref="AB69:AC69"/>
    <mergeCell ref="AD69:AH69"/>
    <mergeCell ref="K68:W68"/>
    <mergeCell ref="Y68:AA68"/>
    <mergeCell ref="AB68:AC68"/>
    <mergeCell ref="AD68:AH68"/>
    <mergeCell ref="K67:W67"/>
    <mergeCell ref="Y67:AA67"/>
    <mergeCell ref="AB67:AC67"/>
    <mergeCell ref="AD67:AH67"/>
    <mergeCell ref="K66:X66"/>
    <mergeCell ref="Y66:AA66"/>
    <mergeCell ref="AB66:AC66"/>
    <mergeCell ref="AD66:AH66"/>
    <mergeCell ref="K65:X65"/>
    <mergeCell ref="Y65:AA65"/>
    <mergeCell ref="AB65:AC65"/>
    <mergeCell ref="AD65:AH65"/>
    <mergeCell ref="K64:X64"/>
    <mergeCell ref="Y64:AA64"/>
    <mergeCell ref="AB64:AC64"/>
    <mergeCell ref="AD64:AH64"/>
    <mergeCell ref="K63:X63"/>
    <mergeCell ref="Y63:AA63"/>
    <mergeCell ref="AB63:AC63"/>
    <mergeCell ref="AD63:AH63"/>
    <mergeCell ref="K62:X62"/>
    <mergeCell ref="Y62:AA62"/>
    <mergeCell ref="AB62:AC62"/>
    <mergeCell ref="AD62:AH62"/>
    <mergeCell ref="K61:X61"/>
    <mergeCell ref="Y61:AA61"/>
    <mergeCell ref="AB61:AC61"/>
    <mergeCell ref="AD61:AH61"/>
    <mergeCell ref="K60:X60"/>
    <mergeCell ref="Y60:AA60"/>
    <mergeCell ref="AB60:AC60"/>
    <mergeCell ref="AD60:AH60"/>
    <mergeCell ref="AD58:AH58"/>
    <mergeCell ref="K59:X59"/>
    <mergeCell ref="Y59:AA59"/>
    <mergeCell ref="AB59:AC59"/>
    <mergeCell ref="AD59:AH59"/>
    <mergeCell ref="AD56:AH56"/>
    <mergeCell ref="K57:X57"/>
    <mergeCell ref="Y57:AA57"/>
    <mergeCell ref="AB57:AC57"/>
    <mergeCell ref="AD57:AH57"/>
    <mergeCell ref="A56:G74"/>
    <mergeCell ref="H56:J74"/>
    <mergeCell ref="K56:X56"/>
    <mergeCell ref="Y56:AA56"/>
    <mergeCell ref="AB56:AC56"/>
    <mergeCell ref="K58:X58"/>
    <mergeCell ref="Y58:AA58"/>
    <mergeCell ref="AB58:AC58"/>
    <mergeCell ref="K55:W55"/>
    <mergeCell ref="Y55:AA55"/>
    <mergeCell ref="AB55:AC55"/>
    <mergeCell ref="AD55:AH55"/>
    <mergeCell ref="K54:W54"/>
    <mergeCell ref="Y54:AA54"/>
    <mergeCell ref="AB54:AC54"/>
    <mergeCell ref="AD54:AH54"/>
    <mergeCell ref="K53:W53"/>
    <mergeCell ref="Y53:AA53"/>
    <mergeCell ref="AB53:AC53"/>
    <mergeCell ref="AD53:AH53"/>
    <mergeCell ref="K52:W52"/>
    <mergeCell ref="Y52:AA52"/>
    <mergeCell ref="AB52:AC52"/>
    <mergeCell ref="AD52:AH52"/>
    <mergeCell ref="K51:W51"/>
    <mergeCell ref="Y51:AA51"/>
    <mergeCell ref="AB51:AC51"/>
    <mergeCell ref="AD51:AH51"/>
    <mergeCell ref="K50:W50"/>
    <mergeCell ref="Y50:AA50"/>
    <mergeCell ref="AB50:AC50"/>
    <mergeCell ref="AD50:AH50"/>
    <mergeCell ref="K49:W49"/>
    <mergeCell ref="Y49:AA49"/>
    <mergeCell ref="AB49:AC49"/>
    <mergeCell ref="AD49:AH49"/>
    <mergeCell ref="K48:X48"/>
    <mergeCell ref="Y48:AA48"/>
    <mergeCell ref="AB48:AC48"/>
    <mergeCell ref="AD48:AH48"/>
    <mergeCell ref="K47:W47"/>
    <mergeCell ref="Y47:AA47"/>
    <mergeCell ref="AB47:AC47"/>
    <mergeCell ref="AD47:AH47"/>
    <mergeCell ref="AD45:AH45"/>
    <mergeCell ref="K46:W46"/>
    <mergeCell ref="Y46:AA46"/>
    <mergeCell ref="AB46:AC46"/>
    <mergeCell ref="AD46:AH46"/>
    <mergeCell ref="Y44:AA44"/>
    <mergeCell ref="AB44:AC44"/>
    <mergeCell ref="AD44:AH44"/>
    <mergeCell ref="K45:W45"/>
    <mergeCell ref="Y45:AA45"/>
    <mergeCell ref="AB45:AC45"/>
    <mergeCell ref="AD42:AH42"/>
    <mergeCell ref="A43:G55"/>
    <mergeCell ref="H43:J55"/>
    <mergeCell ref="K43:X43"/>
    <mergeCell ref="Y43:AA43"/>
    <mergeCell ref="AB43:AC43"/>
    <mergeCell ref="AD43:AH43"/>
    <mergeCell ref="K44:W44"/>
    <mergeCell ref="AD36:AH36"/>
    <mergeCell ref="Y40:AA40"/>
    <mergeCell ref="Y41:AA41"/>
    <mergeCell ref="A42:G42"/>
    <mergeCell ref="K42:X42"/>
    <mergeCell ref="Y42:AA42"/>
    <mergeCell ref="AB39:AC39"/>
    <mergeCell ref="AB42:AC42"/>
    <mergeCell ref="AD34:AH34"/>
    <mergeCell ref="K35:X35"/>
    <mergeCell ref="Y35:AA35"/>
    <mergeCell ref="AB35:AC35"/>
    <mergeCell ref="AD35:AH35"/>
    <mergeCell ref="A34:G36"/>
    <mergeCell ref="H34:J36"/>
    <mergeCell ref="K34:X34"/>
    <mergeCell ref="Y34:AA34"/>
    <mergeCell ref="AB34:AC34"/>
    <mergeCell ref="K36:X36"/>
    <mergeCell ref="Y36:AA36"/>
    <mergeCell ref="AB36:AC36"/>
    <mergeCell ref="K33:X33"/>
    <mergeCell ref="Y33:AA33"/>
    <mergeCell ref="AB33:AC33"/>
    <mergeCell ref="AD33:AH33"/>
    <mergeCell ref="K32:X32"/>
    <mergeCell ref="Y32:AA32"/>
    <mergeCell ref="AB32:AC32"/>
    <mergeCell ref="AD32:AH32"/>
    <mergeCell ref="K31:X31"/>
    <mergeCell ref="Y31:AA31"/>
    <mergeCell ref="AB31:AC31"/>
    <mergeCell ref="AD31:AH31"/>
    <mergeCell ref="K30:X30"/>
    <mergeCell ref="Y30:AA30"/>
    <mergeCell ref="AB30:AC30"/>
    <mergeCell ref="AD30:AH30"/>
    <mergeCell ref="AD28:AH28"/>
    <mergeCell ref="A29:G33"/>
    <mergeCell ref="H29:J33"/>
    <mergeCell ref="K29:X29"/>
    <mergeCell ref="Y29:AA29"/>
    <mergeCell ref="AB29:AC29"/>
    <mergeCell ref="AD29:AH29"/>
    <mergeCell ref="AD26:AH26"/>
    <mergeCell ref="K27:X27"/>
    <mergeCell ref="Y27:AA27"/>
    <mergeCell ref="AB27:AC27"/>
    <mergeCell ref="AD27:AH27"/>
    <mergeCell ref="A26:G28"/>
    <mergeCell ref="H26:J28"/>
    <mergeCell ref="K26:X26"/>
    <mergeCell ref="Y26:AA26"/>
    <mergeCell ref="AB26:AC26"/>
    <mergeCell ref="K28:X28"/>
    <mergeCell ref="Y28:AA28"/>
    <mergeCell ref="AB28:AC28"/>
    <mergeCell ref="K25:X25"/>
    <mergeCell ref="Y25:AA25"/>
    <mergeCell ref="AB25:AC25"/>
    <mergeCell ref="AD25:AH25"/>
    <mergeCell ref="K24:X24"/>
    <mergeCell ref="Y24:AA24"/>
    <mergeCell ref="AB24:AC24"/>
    <mergeCell ref="AD24:AH24"/>
    <mergeCell ref="K23:X23"/>
    <mergeCell ref="Y23:AA23"/>
    <mergeCell ref="AB23:AC23"/>
    <mergeCell ref="AD23:AH23"/>
    <mergeCell ref="K22:W22"/>
    <mergeCell ref="Y22:AA22"/>
    <mergeCell ref="AB22:AC22"/>
    <mergeCell ref="AD22:AH22"/>
    <mergeCell ref="K21:X21"/>
    <mergeCell ref="Y21:AA21"/>
    <mergeCell ref="AB21:AC21"/>
    <mergeCell ref="AD21:AH21"/>
    <mergeCell ref="K20:W20"/>
    <mergeCell ref="Y20:AA20"/>
    <mergeCell ref="AB20:AC20"/>
    <mergeCell ref="AD20:AH20"/>
    <mergeCell ref="K19:X19"/>
    <mergeCell ref="Y19:AA19"/>
    <mergeCell ref="AB19:AC19"/>
    <mergeCell ref="AD19:AH19"/>
    <mergeCell ref="K18:X18"/>
    <mergeCell ref="Y18:AA18"/>
    <mergeCell ref="AB18:AC18"/>
    <mergeCell ref="AD18:AH18"/>
    <mergeCell ref="AD16:AH16"/>
    <mergeCell ref="A17:G25"/>
    <mergeCell ref="H17:J25"/>
    <mergeCell ref="K17:X17"/>
    <mergeCell ref="Y17:AA17"/>
    <mergeCell ref="AB17:AC17"/>
    <mergeCell ref="AD17:AH17"/>
    <mergeCell ref="A15:G15"/>
    <mergeCell ref="H15:J15"/>
    <mergeCell ref="A16:G16"/>
    <mergeCell ref="H16:J16"/>
    <mergeCell ref="K16:X16"/>
    <mergeCell ref="Y16:AA16"/>
    <mergeCell ref="AB16:AC16"/>
    <mergeCell ref="AI12:AK12"/>
    <mergeCell ref="A13:AR13"/>
    <mergeCell ref="A14:J14"/>
    <mergeCell ref="K14:X15"/>
    <mergeCell ref="Y14:AA15"/>
    <mergeCell ref="AB14:AC15"/>
    <mergeCell ref="AD14:AH15"/>
    <mergeCell ref="A9:AE9"/>
    <mergeCell ref="AF9:AN9"/>
    <mergeCell ref="AO9:AP9"/>
    <mergeCell ref="A10:AR10"/>
    <mergeCell ref="A11:AB11"/>
    <mergeCell ref="AF11:AG11"/>
    <mergeCell ref="A7:O7"/>
    <mergeCell ref="P7:T7"/>
    <mergeCell ref="U7:AB7"/>
    <mergeCell ref="AC7:AR7"/>
    <mergeCell ref="E8:G8"/>
    <mergeCell ref="J8:M8"/>
    <mergeCell ref="P8:Q8"/>
    <mergeCell ref="R8:AR8"/>
    <mergeCell ref="A5:AM5"/>
    <mergeCell ref="AN5:AR5"/>
    <mergeCell ref="A6:O6"/>
    <mergeCell ref="P6:T6"/>
    <mergeCell ref="U6:AB6"/>
    <mergeCell ref="AC6:AR6"/>
    <mergeCell ref="AF2:AJ2"/>
    <mergeCell ref="AF3:AJ3"/>
    <mergeCell ref="A4:AC4"/>
    <mergeCell ref="AF4:AJ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ФОТ 2018</vt:lpstr>
      <vt:lpstr>Т-3 (2018)</vt:lpstr>
      <vt:lpstr>Номенклатура</vt:lpstr>
      <vt:lpstr>'Т-3 (2018)'!Область_печати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Нагайцева</dc:creator>
  <cp:lastModifiedBy>Козлов</cp:lastModifiedBy>
  <cp:lastPrinted>2019-02-14T15:50:22Z</cp:lastPrinted>
  <dcterms:created xsi:type="dcterms:W3CDTF">2018-01-29T11:40:19Z</dcterms:created>
  <dcterms:modified xsi:type="dcterms:W3CDTF">2019-02-14T15:51:02Z</dcterms:modified>
</cp:coreProperties>
</file>